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tmp" ContentType="image/png"/>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7.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featurePropertyBag/featurePropertyBag.xml" ContentType="application/vnd.ms-excel.featurepropertybag+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66925"/>
  <mc:AlternateContent xmlns:mc="http://schemas.openxmlformats.org/markup-compatibility/2006">
    <mc:Choice Requires="x15">
      <x15ac:absPath xmlns:x15ac="http://schemas.microsoft.com/office/spreadsheetml/2010/11/ac" url="\\vhb.com\gbl\Client\039990.004\05_Work\NCDOTProjNum\Traffic Safety\Assignments\WO-41000076578 SS 08-17-5149 (SS-4908BK)\Crash Analysis\"/>
    </mc:Choice>
  </mc:AlternateContent>
  <xr:revisionPtr revIDLastSave="0" documentId="13_ncr:1_{7797CBE3-9372-4E3E-B6FB-0E4F9F83C84C}" xr6:coauthVersionLast="47" xr6:coauthVersionMax="47" xr10:uidLastSave="{00000000-0000-0000-0000-000000000000}"/>
  <bookViews>
    <workbookView xWindow="-96" yWindow="-96" windowWidth="23232" windowHeight="13872" tabRatio="880" firstSheet="2" activeTab="13" xr2:uid="{01E8C06E-BF1E-4944-81C9-E107D0098AAF}"/>
  </bookViews>
  <sheets>
    <sheet name="Step-by-Step Instructions" sheetId="9" r:id="rId1"/>
    <sheet name="Typical Target Crash Types" sheetId="10" r:id="rId2"/>
    <sheet name="Assumptions" sheetId="23" r:id="rId3"/>
    <sheet name="Evaluation Set-up" sheetId="7" r:id="rId4"/>
    <sheet name="Fiche Prep Tool" sheetId="19" r:id="rId5"/>
    <sheet name="Initial Crash ID list" sheetId="20" r:id="rId6"/>
    <sheet name="Parameters" sheetId="18" r:id="rId7"/>
    <sheet name="Original Fiche" sheetId="11" r:id="rId8"/>
    <sheet name="Filtered Fiche" sheetId="12" r:id="rId9"/>
    <sheet name="Binned Crashes" sheetId="8" r:id="rId10"/>
    <sheet name="Before" sheetId="4" r:id="rId11"/>
    <sheet name="After" sheetId="5" r:id="rId12"/>
    <sheet name="Trends" sheetId="21" r:id="rId13"/>
    <sheet name="One Pager" sheetId="22" r:id="rId14"/>
    <sheet name="For NCDOT staff - for Tracking" sheetId="16" r:id="rId15"/>
    <sheet name="For NCDOT staff - Email" sheetId="26" r:id="rId16"/>
    <sheet name="Email List" sheetId="30" state="hidden" r:id="rId17"/>
  </sheets>
  <functionGroups builtInGroupCount="19"/>
  <externalReferences>
    <externalReference r:id="rId18"/>
    <externalReference r:id="rId19"/>
  </externalReferences>
  <definedNames>
    <definedName name="_xlnm._FilterDatabase" localSheetId="11" hidden="1">After!$A$3:$M$37</definedName>
    <definedName name="_xlnm._FilterDatabase" localSheetId="10" hidden="1">Before!$A$3:$M$23</definedName>
    <definedName name="_xlnm._FilterDatabase" localSheetId="9" hidden="1">'Binned Crashes'!$A$98:$AB$1225</definedName>
    <definedName name="_xlnm._FilterDatabase" localSheetId="8" hidden="1">'Filtered Fiche'!$A$1:$AB$1215</definedName>
    <definedName name="_xlnm._FilterDatabase" localSheetId="12" hidden="1">Trends!$AG$1:$AH$51</definedName>
    <definedName name="_xleta.AND" hidden="1" xlm="1">#NAME?</definedName>
    <definedName name="_xleta.CONVERT" hidden="1" xlm="1">#NAME?</definedName>
    <definedName name="_xleta.MAP" hidden="1" xlm="1">#NAME?</definedName>
    <definedName name="_xleta.MIDB" hidden="1" xlm="1">#NAME?</definedName>
    <definedName name="_xleta.T" hidden="1" xlm="1">#NAME?</definedName>
    <definedName name="A">'For NCDOT staff - Email'!$D$14</definedName>
    <definedName name="A_AFDir">After!$BA$4:$BA$1003</definedName>
    <definedName name="A_Avoid">After!$BC$4:$BC$1003</definedName>
    <definedName name="A_Cat">After!$BB$4:$BB$1003</definedName>
    <definedName name="A_Check">After!$O$4:$O$1003</definedName>
    <definedName name="A_Cond">After!$D$4:$D$1003</definedName>
    <definedName name="A_ID">After!$A$4:$A$1003</definedName>
    <definedName name="A_Light">After!$F$4:$F$1003</definedName>
    <definedName name="A_Sev">After!$G$4:$G$1003</definedName>
    <definedName name="A_T1">After!$L$4:$L$1003</definedName>
    <definedName name="A_T2">After!$M$4:$M$1003</definedName>
    <definedName name="A_T3">After!$N$4:$N$1003</definedName>
    <definedName name="A_Type">After!$AU$4:$AU$1003</definedName>
    <definedName name="A_V1Dir">After!$AV$4:$AV$1003</definedName>
    <definedName name="A_V2Dir">After!$AX$4:$AX$1003</definedName>
    <definedName name="AtFaultList">[1]Lists!$L$2:$L$4</definedName>
    <definedName name="B_AFDir">Before!$BA$4:$BA$1003</definedName>
    <definedName name="B_Avoid">Before!$BC$4:$BC$1003</definedName>
    <definedName name="B_Cat">Before!$BB$4:$BB$1003</definedName>
    <definedName name="B_Check">Before!$O$4:$O$1003</definedName>
    <definedName name="B_Cond">Before!$D$4:$D$1003</definedName>
    <definedName name="B_ID">Before!$A$4:$A$1003</definedName>
    <definedName name="B_Light">Before!$F$4:$F$1003</definedName>
    <definedName name="B_Sev">Before!$G$4:$G$1003</definedName>
    <definedName name="B_T1">Before!$L$4:$L$1003</definedName>
    <definedName name="B_T2">Before!$M$4:$M$1003</definedName>
    <definedName name="B_T3">Before!$N$4:$N$1003</definedName>
    <definedName name="B_Type">Before!$AU$4:$AU$1003</definedName>
    <definedName name="B_V1Dir">Before!$AV$4:$AV$1003</definedName>
    <definedName name="B_V2Dir">Before!$AX$4:$AX$1003</definedName>
    <definedName name="CrashTypeList">[1]Lists!$A$2:$A$19</definedName>
    <definedName name="ExternalData_1" localSheetId="16" hidden="1">'Email List'!$A$1:$T$32</definedName>
    <definedName name="TrendsMetricList">[1]Lists!$R$2:$R$134</definedName>
    <definedName name="VehicleCodeList">[1]Lists!$J$2:$J$18</definedName>
    <definedName name="YList">[1]Lists!$P$2:$P$2</definedName>
  </definedNames>
  <calcPr calcId="191029" fullCalcOn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DF8C792-E0F3-46FD-BD48-A1E07EBB5882}" keepAlive="1" name="Query - Email List" description="Connection to the 'Email List' query in the workbook." type="5" refreshedVersion="8" background="1" saveData="1">
    <dbPr connection="Provider=Microsoft.Mashup.OleDb.1;Data Source=$Workbook$;Location=&quot;Email List&quot;;Extended Properties=&quot;&quot;" command="SELECT * FROM [Email Li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<sst xmlns="http://schemas.openxmlformats.org/spreadsheetml/2006/main" count="27524" uniqueCount="1353">
  <si>
    <t>Crash ID</t>
  </si>
  <si>
    <t>Date</t>
  </si>
  <si>
    <t>T</t>
  </si>
  <si>
    <t>C</t>
  </si>
  <si>
    <t>F</t>
  </si>
  <si>
    <t>L</t>
  </si>
  <si>
    <t>S</t>
  </si>
  <si>
    <t>O</t>
  </si>
  <si>
    <t>B</t>
  </si>
  <si>
    <t>K</t>
  </si>
  <si>
    <t>A</t>
  </si>
  <si>
    <t>Crash #</t>
  </si>
  <si>
    <t>Severity Index</t>
  </si>
  <si>
    <t>Total</t>
  </si>
  <si>
    <t>SI</t>
  </si>
  <si>
    <t>Treatment Information</t>
  </si>
  <si>
    <t>Before</t>
  </si>
  <si>
    <t>After</t>
  </si>
  <si>
    <t>Percent Reduction (-) 
Percent Increase (+)</t>
  </si>
  <si>
    <t>Total Crashes</t>
  </si>
  <si>
    <t>Severity</t>
  </si>
  <si>
    <t>Total Severity Index</t>
  </si>
  <si>
    <t>Target Crashes</t>
  </si>
  <si>
    <t>Target Crash Severity Index</t>
  </si>
  <si>
    <t>Injury Crash Summary</t>
  </si>
  <si>
    <t>Percent Reduction (-)
Percent Increase (+)</t>
  </si>
  <si>
    <t>Class C Injury Crashes</t>
  </si>
  <si>
    <t>Property Damage Only</t>
  </si>
  <si>
    <t>Additional Information</t>
  </si>
  <si>
    <t>Percent Reduction (-) Percent Increase (+)</t>
  </si>
  <si>
    <t>Crash Year</t>
  </si>
  <si>
    <t>Year</t>
  </si>
  <si>
    <t>Major Road - Leg #1</t>
  </si>
  <si>
    <t>Major Road - Leg #2</t>
  </si>
  <si>
    <t>Major Road - Average AADT</t>
  </si>
  <si>
    <t>Minor Road - Average AADT</t>
  </si>
  <si>
    <t>Minor Rd - Leg #3</t>
  </si>
  <si>
    <t>Minor Rd - Leg #4</t>
  </si>
  <si>
    <t>User Input Required</t>
  </si>
  <si>
    <t>Rear Ends</t>
  </si>
  <si>
    <t>Steps</t>
  </si>
  <si>
    <t>Intersection AADT</t>
  </si>
  <si>
    <t>Color Key</t>
  </si>
  <si>
    <t>cells needed for calcs:</t>
  </si>
  <si>
    <t>Total # of months in between</t>
  </si>
  <si>
    <t>●</t>
  </si>
  <si>
    <t>Most recent TEAAS date</t>
  </si>
  <si>
    <t>Target-1</t>
  </si>
  <si>
    <t>Target -2</t>
  </si>
  <si>
    <t>Target-2</t>
  </si>
  <si>
    <t>Target-1 Severity Index</t>
  </si>
  <si>
    <t>Target-1 KABCO</t>
  </si>
  <si>
    <t>Target-2 Severity Index</t>
  </si>
  <si>
    <t>Target-2 KABCO</t>
  </si>
  <si>
    <t>Date Range Calculator</t>
  </si>
  <si>
    <t>AADT Calculator</t>
  </si>
  <si>
    <t>Notes</t>
  </si>
  <si>
    <t>Target-1?</t>
  </si>
  <si>
    <t>Target-2?</t>
  </si>
  <si>
    <t xml:space="preserve">Leave these columns blank if not a Target Crash. </t>
  </si>
  <si>
    <t>All Targets</t>
  </si>
  <si>
    <t>Y</t>
  </si>
  <si>
    <t>Target Crash?</t>
  </si>
  <si>
    <t>All Target Crashes</t>
  </si>
  <si>
    <t>All - Targets</t>
  </si>
  <si>
    <t>All Target Crash Severity Index</t>
  </si>
  <si>
    <t>Target Injury Crash Summary</t>
  </si>
  <si>
    <t>Frontal Impacts</t>
  </si>
  <si>
    <t>Major AADT</t>
  </si>
  <si>
    <t>Minor AADT</t>
  </si>
  <si>
    <t>Target-1 Crash</t>
  </si>
  <si>
    <t>Target-2 Crash</t>
  </si>
  <si>
    <t>Advance Activated Warning Sign (a.k.a. Be Prepared to Stop Signs)</t>
  </si>
  <si>
    <t>Frontal Impact Crashes where Vehicle on Treated Approach Ran Red Light</t>
  </si>
  <si>
    <t>Rear End Crashes Approaching Intersection on Treated Approaches</t>
  </si>
  <si>
    <t>Treated Approaches are likely both Mainline Approaches</t>
  </si>
  <si>
    <t>All Way Stop</t>
  </si>
  <si>
    <t>Frontal Impact Crashes in Intersection</t>
  </si>
  <si>
    <t>Frontal Impact Crashes involving vehicle making a movement that is restricted in the after period</t>
  </si>
  <si>
    <t>Grade Separation</t>
  </si>
  <si>
    <t>Intersection Realignment</t>
  </si>
  <si>
    <t>Varies by Treatment - Other Targets may be necessary depending on the situation (i.e. Rear End Crashes or Lane Departure Crashes)</t>
  </si>
  <si>
    <t>Y-Lines may need to be extended.  Analyze Entire Area impacted by realignment</t>
  </si>
  <si>
    <t>Left Turn Lane - New Installation</t>
  </si>
  <si>
    <t>Left Turn Same Roadway Crashes on Treated Approaches</t>
  </si>
  <si>
    <t>If a multilane facility, rear ends may need to be specific to the inner lanes</t>
  </si>
  <si>
    <t>Left Turn Lane - Offset Existing Lane</t>
  </si>
  <si>
    <t>Median Channelization on an Intersection Approach (i.e. Assess Management for Driveways)</t>
  </si>
  <si>
    <t>Varies by Treatment - Other Targets may be necessary depending on the situation (i.e. rear end crashes alleviated due to a movement restriction)</t>
  </si>
  <si>
    <t>New Traffic Signal</t>
  </si>
  <si>
    <t>Pedestrian/Bicycle Treatments</t>
  </si>
  <si>
    <t>Pedestrian and Bicycle Crashes</t>
  </si>
  <si>
    <t>For a Pedestrian signal, rear end crashes may also need to be analyzed</t>
  </si>
  <si>
    <t>Remove Access/Intersection</t>
  </si>
  <si>
    <t>Frontal Impact Crashes in Intersection*</t>
  </si>
  <si>
    <t>Varies by Treatment - Other Targets may be necessary depending on the situation (i.e. Rear End Crashes)</t>
  </si>
  <si>
    <t>*Target crashes can vary depending on the specifics of what was removed</t>
  </si>
  <si>
    <t>Right Turn Lane at Intersection</t>
  </si>
  <si>
    <t>Sideswipe Crashes Approaching Intersection on Treated Approaches</t>
  </si>
  <si>
    <t>If a multilane facility, rear ends and sideswipes may need to be specific to the outer lanes</t>
  </si>
  <si>
    <t>Roundabout</t>
  </si>
  <si>
    <t>Sight Distance Improvements at Intersection</t>
  </si>
  <si>
    <t>May need to only include Frontal Impact Crashes involving vehicles making maneuvers directly affected by sight distance improvements (i.e. if one quadrant was cleared)</t>
  </si>
  <si>
    <t>Traffic Signal Revisions - Flashing Yellow Arrow</t>
  </si>
  <si>
    <t>Traffic Signal Revisions - Left Turn Phasing Revisions</t>
  </si>
  <si>
    <t>Vehicle Entering When Flashing</t>
  </si>
  <si>
    <t xml:space="preserve"> Comments/Instruction on Date Range Calculator:</t>
  </si>
  <si>
    <t>Target Crash Type Guidance - Intersection Treatments</t>
  </si>
  <si>
    <t>Countermeasure</t>
  </si>
  <si>
    <t xml:space="preserve"> Comments/Instructions for Typical Target Crashes:</t>
  </si>
  <si>
    <r>
      <rPr>
        <b/>
        <sz val="11"/>
        <color theme="1"/>
        <rFont val="Calibri"/>
        <family val="2"/>
        <scheme val="minor"/>
      </rPr>
      <t>Frontal impacts crash types</t>
    </r>
    <r>
      <rPr>
        <sz val="11"/>
        <color theme="1"/>
        <rFont val="Calibri"/>
        <family val="2"/>
        <scheme val="minor"/>
      </rPr>
      <t>: left-turn same roadway, left-turn different roadway, right-turn same roadway, right-turn different roadway, head-on, and angle crashes</t>
    </r>
  </si>
  <si>
    <t>Project Development</t>
  </si>
  <si>
    <t>Before Period</t>
  </si>
  <si>
    <t>After Period</t>
  </si>
  <si>
    <t>Fatal Injury Crashes</t>
  </si>
  <si>
    <t>Class A Injury Crashes</t>
  </si>
  <si>
    <t>Class B Injury Crashes</t>
  </si>
  <si>
    <t>Increase Conspicuity of Stop Condition (i.e. Double Indicated Stop Sign, Transverse Rumble Strips, Double Arrow Sign)</t>
  </si>
  <si>
    <t>Increase Conspicuity of Traffic Signal (i.e. Double Indicated Red, Backplates)</t>
  </si>
  <si>
    <t>Frontal Impact Crashes where Vehicle on Treated Approach Ran the Stop Sign</t>
  </si>
  <si>
    <t xml:space="preserve">Include Ran Off Road - Straight Crashes for T Intersections </t>
  </si>
  <si>
    <t>Flashing Traffic Signal (i.e. Overhead Non-Actuated Flasher)</t>
  </si>
  <si>
    <t>Frontal Impact Crashes involving Vehicles from Treated Approaches</t>
  </si>
  <si>
    <t>Instructions for AADT Calculator:</t>
  </si>
  <si>
    <t>AADTs for every year within the study period</t>
  </si>
  <si>
    <t>Input AADTs for every year that appears in the study range (Before and After Period).  You do not need to input volumes for the years outside of the study time periods</t>
  </si>
  <si>
    <r>
      <t xml:space="preserve">When inputting volume data into this tool, use </t>
    </r>
    <r>
      <rPr>
        <b/>
        <sz val="11"/>
        <color theme="1"/>
        <rFont val="Calibri"/>
        <family val="2"/>
        <scheme val="minor"/>
      </rPr>
      <t>Black</t>
    </r>
    <r>
      <rPr>
        <sz val="11"/>
        <color theme="1"/>
        <rFont val="Calibri"/>
        <family val="2"/>
        <scheme val="minor"/>
      </rPr>
      <t xml:space="preserve"> font color for values taken directly from the available volume data</t>
    </r>
  </si>
  <si>
    <r>
      <t>When inputting volume data into this tool, use</t>
    </r>
    <r>
      <rPr>
        <b/>
        <sz val="11"/>
        <color theme="1"/>
        <rFont val="Calibri"/>
        <family val="2"/>
        <scheme val="minor"/>
      </rPr>
      <t xml:space="preserve"> </t>
    </r>
    <r>
      <rPr>
        <b/>
        <sz val="11"/>
        <color rgb="FFFF0000"/>
        <rFont val="Calibri"/>
        <family val="2"/>
        <scheme val="minor"/>
      </rPr>
      <t>Red</t>
    </r>
    <r>
      <rPr>
        <sz val="11"/>
        <color theme="1"/>
        <rFont val="Calibri"/>
        <family val="2"/>
        <scheme val="minor"/>
      </rPr>
      <t xml:space="preserve"> font color for values that need to be calculated, interpolated, or assumed</t>
    </r>
  </si>
  <si>
    <t xml:space="preserve">Volumes should be entered in for each leg of the intersection, even if no count data is available.  Legs without available volume counts will need to have their volumes estimated. </t>
  </si>
  <si>
    <t>Manually Edit These Columns (A -&gt; M)</t>
  </si>
  <si>
    <t>Don't Edit These Columns (N -&gt; ).  Calculations are Automatic.</t>
  </si>
  <si>
    <r>
      <t>Columns L</t>
    </r>
    <r>
      <rPr>
        <b/>
        <sz val="11"/>
        <color theme="1"/>
        <rFont val="Calibri"/>
        <family val="2"/>
        <scheme val="minor"/>
      </rPr>
      <t xml:space="preserve"> </t>
    </r>
    <r>
      <rPr>
        <sz val="11"/>
        <color theme="1"/>
        <rFont val="Calibri"/>
        <family val="2"/>
        <scheme val="minor"/>
      </rPr>
      <t>and M require manual input to identify Target Crashes</t>
    </r>
  </si>
  <si>
    <r>
      <t xml:space="preserve">Type </t>
    </r>
    <r>
      <rPr>
        <b/>
        <sz val="11"/>
        <color rgb="FFFF0000"/>
        <rFont val="Calibri"/>
        <family val="2"/>
        <scheme val="minor"/>
      </rPr>
      <t>Y</t>
    </r>
    <r>
      <rPr>
        <sz val="11"/>
        <color theme="1"/>
        <rFont val="Calibri"/>
        <family val="2"/>
        <scheme val="minor"/>
      </rPr>
      <t xml:space="preserve"> in Column L if </t>
    </r>
    <r>
      <rPr>
        <b/>
        <sz val="11"/>
        <color rgb="FFFF0000"/>
        <rFont val="Calibri"/>
        <family val="2"/>
        <scheme val="minor"/>
      </rPr>
      <t>Target-1</t>
    </r>
    <r>
      <rPr>
        <sz val="11"/>
        <color theme="1"/>
        <rFont val="Calibri"/>
        <family val="2"/>
        <scheme val="minor"/>
      </rPr>
      <t xml:space="preserve"> Crash.  </t>
    </r>
  </si>
  <si>
    <r>
      <t xml:space="preserve">Type </t>
    </r>
    <r>
      <rPr>
        <b/>
        <sz val="11"/>
        <color theme="4"/>
        <rFont val="Calibri"/>
        <family val="2"/>
        <scheme val="minor"/>
      </rPr>
      <t>Y</t>
    </r>
    <r>
      <rPr>
        <sz val="11"/>
        <color theme="1"/>
        <rFont val="Calibri"/>
        <family val="2"/>
        <scheme val="minor"/>
      </rPr>
      <t xml:space="preserve"> in Column M if </t>
    </r>
    <r>
      <rPr>
        <b/>
        <sz val="11"/>
        <color theme="4"/>
        <rFont val="Calibri"/>
        <family val="2"/>
        <scheme val="minor"/>
      </rPr>
      <t>Target-2</t>
    </r>
    <r>
      <rPr>
        <sz val="11"/>
        <color theme="1"/>
        <rFont val="Calibri"/>
        <family val="2"/>
        <scheme val="minor"/>
      </rPr>
      <t xml:space="preserve"> Crash.  </t>
    </r>
  </si>
  <si>
    <t xml:space="preserve">Include Rear End crashes from the treated approaches within the Additional Information Table.  </t>
  </si>
  <si>
    <t>Order ID:</t>
  </si>
  <si>
    <t>Project ID:</t>
  </si>
  <si>
    <t>County:</t>
  </si>
  <si>
    <t>City:</t>
  </si>
  <si>
    <t>Division:</t>
  </si>
  <si>
    <t>Location:</t>
  </si>
  <si>
    <t>Countermeasure(s):</t>
  </si>
  <si>
    <t>Start Date</t>
  </si>
  <si>
    <t>End Date</t>
  </si>
  <si>
    <t>Construction Period</t>
  </si>
  <si>
    <t>Work Group/Consultant:</t>
  </si>
  <si>
    <t>Date:</t>
  </si>
  <si>
    <t>Principal Investigator:</t>
  </si>
  <si>
    <t>Cells that are shaded TAN are not automatic and need to be filled in prior to printing</t>
  </si>
  <si>
    <t>Years</t>
  </si>
  <si>
    <t>Fatal Injury</t>
  </si>
  <si>
    <t>Class A Injury</t>
  </si>
  <si>
    <t>Class B Injury</t>
  </si>
  <si>
    <t>Class C Injury</t>
  </si>
  <si>
    <t>All Target Injury Crash Summary</t>
  </si>
  <si>
    <t>Signal ID:</t>
  </si>
  <si>
    <t>Estimated Project Cost:</t>
  </si>
  <si>
    <t>GPS Coordinates:</t>
  </si>
  <si>
    <t>Completion Date:</t>
  </si>
  <si>
    <t>Representative Years Selection:</t>
  </si>
  <si>
    <t>Select Before Period Year:</t>
  </si>
  <si>
    <t>Select After Period Year:</t>
  </si>
  <si>
    <r>
      <t>Construction Period Length
(</t>
    </r>
    <r>
      <rPr>
        <i/>
        <sz val="11"/>
        <color theme="1"/>
        <rFont val="Calibri"/>
        <family val="2"/>
        <scheme val="minor"/>
      </rPr>
      <t>Give Value in Months</t>
    </r>
    <r>
      <rPr>
        <sz val="11"/>
        <color theme="1"/>
        <rFont val="Calibri"/>
        <family val="2"/>
        <scheme val="minor"/>
      </rPr>
      <t>)</t>
    </r>
  </si>
  <si>
    <t>Time Period</t>
  </si>
  <si>
    <t>Cells that need to be edited</t>
  </si>
  <si>
    <t>Auto-calculated cells</t>
  </si>
  <si>
    <t># of Years</t>
  </si>
  <si>
    <t># of Months</t>
  </si>
  <si>
    <r>
      <t xml:space="preserve">This tool only works in </t>
    </r>
    <r>
      <rPr>
        <b/>
        <i/>
        <u/>
        <sz val="11"/>
        <color theme="1"/>
        <rFont val="Calibri"/>
        <family val="2"/>
        <scheme val="minor"/>
      </rPr>
      <t>WHOLE MONTHS</t>
    </r>
    <r>
      <rPr>
        <sz val="11"/>
        <color theme="1"/>
        <rFont val="Calibri"/>
        <family val="2"/>
        <scheme val="minor"/>
      </rPr>
      <t>.  Construction start dates should be rounded up to the first of the month and construction end dates should be rounded down to the end the month.</t>
    </r>
  </si>
  <si>
    <t>Use a typical 3-month Construction Period unless you have specific information to the contrary (ex. construction dates were provided, info from satellite views, etc.).</t>
  </si>
  <si>
    <r>
      <t xml:space="preserve">You </t>
    </r>
    <r>
      <rPr>
        <i/>
        <sz val="11"/>
        <color theme="1"/>
        <rFont val="Calibri"/>
        <family val="2"/>
        <scheme val="minor"/>
      </rPr>
      <t xml:space="preserve">CAN </t>
    </r>
    <r>
      <rPr>
        <sz val="11"/>
        <color theme="1"/>
        <rFont val="Calibri"/>
        <family val="2"/>
        <scheme val="minor"/>
      </rPr>
      <t>input the construction start date directly into cell D10 or simply just enter in the construction period length into cells D5/D6.</t>
    </r>
  </si>
  <si>
    <t>Representative Volumes:</t>
  </si>
  <si>
    <t>Before Period Volume:</t>
  </si>
  <si>
    <t>After Period Volume:</t>
  </si>
  <si>
    <t>Reduced Conflict Intersection (RCI)</t>
  </si>
  <si>
    <t>Look at the sign and loop placement to determine what are the treated approaches.  If the signs are only on one approach, then only include crashes involving vehicles from that approach.  Crashes involving vehicles from the same roadway (Left Turn Same Roadway, Right Turn Same Roadway and Head On Crashes) are typically excluded because the flashers are not displayed to vehicles traveling on the same roadway.</t>
  </si>
  <si>
    <r>
      <t xml:space="preserve">In cells </t>
    </r>
    <r>
      <rPr>
        <b/>
        <sz val="11"/>
        <color theme="1"/>
        <rFont val="Calibri"/>
        <family val="2"/>
        <scheme val="minor"/>
      </rPr>
      <t>N5</t>
    </r>
    <r>
      <rPr>
        <sz val="11"/>
        <color theme="1"/>
        <rFont val="Calibri"/>
        <family val="2"/>
        <scheme val="minor"/>
      </rPr>
      <t xml:space="preserve"> and </t>
    </r>
    <r>
      <rPr>
        <b/>
        <sz val="11"/>
        <color theme="1"/>
        <rFont val="Calibri"/>
        <family val="2"/>
        <scheme val="minor"/>
      </rPr>
      <t>N6</t>
    </r>
    <r>
      <rPr>
        <sz val="11"/>
        <color theme="1"/>
        <rFont val="Calibri"/>
        <family val="2"/>
        <scheme val="minor"/>
      </rPr>
      <t>, select the last year within each period that has available volume data (i.e. actual collected volume data, not estimated/interpolated data)</t>
    </r>
  </si>
  <si>
    <r>
      <t xml:space="preserve">In the case of a T-intersection, leave leg #4 blank (Column </t>
    </r>
    <r>
      <rPr>
        <b/>
        <sz val="11"/>
        <color theme="1"/>
        <rFont val="Calibri"/>
        <family val="2"/>
        <scheme val="minor"/>
      </rPr>
      <t>Q</t>
    </r>
    <r>
      <rPr>
        <sz val="11"/>
        <color theme="1"/>
        <rFont val="Calibri"/>
        <family val="2"/>
        <scheme val="minor"/>
      </rPr>
      <t>)</t>
    </r>
  </si>
  <si>
    <r>
      <t xml:space="preserve">Intersections with 5 or more legs should just have the yearly volumes for the WHOLE intersection calcuated manually and entered into column </t>
    </r>
    <r>
      <rPr>
        <b/>
        <sz val="11"/>
        <color theme="1"/>
        <rFont val="Calibri"/>
        <family val="2"/>
        <scheme val="minor"/>
      </rPr>
      <t>R</t>
    </r>
    <r>
      <rPr>
        <sz val="11"/>
        <color theme="1"/>
        <rFont val="Calibri"/>
        <family val="2"/>
        <scheme val="minor"/>
      </rPr>
      <t>.</t>
    </r>
  </si>
  <si>
    <r>
      <t xml:space="preserve">Please note that this tool will not correctly calculate the AADT of an intersection that involves a one-way road.  Should the major or minor road involve one-way traffic, the total entering volume into the intersection by that road should be directly entered into Column </t>
    </r>
    <r>
      <rPr>
        <b/>
        <sz val="11"/>
        <color theme="1"/>
        <rFont val="Calibri"/>
        <family val="2"/>
        <scheme val="minor"/>
      </rPr>
      <t>O</t>
    </r>
    <r>
      <rPr>
        <sz val="11"/>
        <color theme="1"/>
        <rFont val="Calibri"/>
        <family val="2"/>
        <scheme val="minor"/>
      </rPr>
      <t xml:space="preserve"> (if the major road is one-way) or column </t>
    </r>
    <r>
      <rPr>
        <b/>
        <sz val="11"/>
        <color theme="1"/>
        <rFont val="Calibri"/>
        <family val="2"/>
        <scheme val="minor"/>
      </rPr>
      <t>R</t>
    </r>
    <r>
      <rPr>
        <sz val="11"/>
        <color theme="1"/>
        <rFont val="Calibri"/>
        <family val="2"/>
        <scheme val="minor"/>
      </rPr>
      <t xml:space="preserve"> (if the minor road is one-way)</t>
    </r>
  </si>
  <si>
    <t>Do not select 2020 as a representative year for a particular time period, due to the effects of the COVID-19 pandemic, even if it is the last year with available AADT data within said time period.</t>
  </si>
  <si>
    <t>NOTE: If a crash could potentially fall in more than one target group, discuss with SEG Staff on how to prioritize the target placement.  Each target crash should only fall in one target group.  There should not be overlap.</t>
  </si>
  <si>
    <t xml:space="preserve">If the treatment included the construction of U-turn bulbouts, the entire constructed section may need to be included in the treatment analysis.  If the treatment was ONLY the RCI, analyze downstream U-turn crashes in a separate table. </t>
  </si>
  <si>
    <t>Analyze a Potential Area of Influence / Downstream U-Turn Crashes in the additional information table and/or the discussion</t>
  </si>
  <si>
    <t>Particularly for rural roundabouts, note whether there is lighting present within the discussion and detail any patterns regarding nighttime crashes or nighttime lane departures within the additional information table and/or discussion</t>
  </si>
  <si>
    <t>Project ID</t>
  </si>
  <si>
    <t>Intersection</t>
  </si>
  <si>
    <t>County</t>
  </si>
  <si>
    <t>GPS</t>
  </si>
  <si>
    <t>Project Cost</t>
  </si>
  <si>
    <t>Countermeasure Description</t>
  </si>
  <si>
    <t>Countermeasure Grouping</t>
  </si>
  <si>
    <t>Major Speed Limit</t>
  </si>
  <si>
    <t>Minor Speed Limit</t>
  </si>
  <si>
    <t>Install
Year</t>
  </si>
  <si>
    <t>Before, Yr 1</t>
  </si>
  <si>
    <t>Before, Yr 2</t>
  </si>
  <si>
    <t>Before, Yr 3</t>
  </si>
  <si>
    <t>After, Yr 1</t>
  </si>
  <si>
    <t>After, Yr 2</t>
  </si>
  <si>
    <t>After, Yr 3</t>
  </si>
  <si>
    <t>Intersection Type</t>
  </si>
  <si>
    <t>B - Yr 1</t>
  </si>
  <si>
    <t>B - Yr 2</t>
  </si>
  <si>
    <t>B - Yr 3</t>
  </si>
  <si>
    <t>A - Yr 1</t>
  </si>
  <si>
    <t>A - Yr 2</t>
  </si>
  <si>
    <t>A - Yr 3</t>
  </si>
  <si>
    <t>Treatment Grouping</t>
  </si>
  <si>
    <t>Intersection Signing/Marking Enhancement</t>
  </si>
  <si>
    <t>Left Turn Lane (Unsignalized)</t>
  </si>
  <si>
    <t>Median Channelization</t>
  </si>
  <si>
    <t>Offset Left Turn Lane</t>
  </si>
  <si>
    <t>Sight Distance Improvements</t>
  </si>
  <si>
    <t>VEWF</t>
  </si>
  <si>
    <t>Advance Activated Warning Sign</t>
  </si>
  <si>
    <t>Traffic Signal Revisions - Left Turn FYA</t>
  </si>
  <si>
    <t>Traffic Signal Revisions - Non-FYA Related</t>
  </si>
  <si>
    <t>Traffic Signal Revisions - Turn Lanes</t>
  </si>
  <si>
    <t>Miscellaneous</t>
  </si>
  <si>
    <t>R2-3ST</t>
  </si>
  <si>
    <t>R2-4ST</t>
  </si>
  <si>
    <t>R2-4SG</t>
  </si>
  <si>
    <t>R4-3ST</t>
  </si>
  <si>
    <t>R4-4ST</t>
  </si>
  <si>
    <t>R4-4SG</t>
  </si>
  <si>
    <t>U-3ST</t>
  </si>
  <si>
    <t>U-3SG</t>
  </si>
  <si>
    <t>U-4ST</t>
  </si>
  <si>
    <t>U-4SG</t>
  </si>
  <si>
    <t>Month</t>
  </si>
  <si>
    <t>KABC</t>
  </si>
  <si>
    <t>Months in Before</t>
  </si>
  <si>
    <t>Months in After</t>
  </si>
  <si>
    <t>Before Period Table</t>
  </si>
  <si>
    <t>After Period Table</t>
  </si>
  <si>
    <r>
      <t xml:space="preserve">Tables used for Multi-treatment EB analysis and CMF tracking - Please </t>
    </r>
    <r>
      <rPr>
        <b/>
        <u/>
        <sz val="16"/>
        <color rgb="FFFF0000"/>
        <rFont val="Calibri"/>
        <family val="2"/>
        <scheme val="minor"/>
      </rPr>
      <t>DO NOT</t>
    </r>
    <r>
      <rPr>
        <sz val="16"/>
        <color theme="1"/>
        <rFont val="Calibri"/>
        <family val="2"/>
        <scheme val="minor"/>
      </rPr>
      <t xml:space="preserve"> edit or change any cells in this section</t>
    </r>
  </si>
  <si>
    <t>Intx Types</t>
  </si>
  <si>
    <t>Countermeasure Groupings</t>
  </si>
  <si>
    <t>* --&gt;</t>
  </si>
  <si>
    <t>*Note for NCDOT Staff: Should only need to copy this row into internal SS/HE project tracking workbook.  Recommended that "values only" paste is used when copying and pasting into tracking workbook.</t>
  </si>
  <si>
    <t>year</t>
  </si>
  <si>
    <t>Target Crash 1:</t>
  </si>
  <si>
    <t>Target Crash 2:</t>
  </si>
  <si>
    <t>Fiche Preparation Tool</t>
  </si>
  <si>
    <t>Developed by Daniel Carter for NCDOT Traffic Safety Unit</t>
  </si>
  <si>
    <t>Purpose</t>
  </si>
  <si>
    <t>This tool is intended to format the output from the TEAAS Detailed Fiche module to prepare it for crash-by-crash analysis. It sorts the crashes in a standard way that is appropriate for manual examination, adds a link to Google Maps if any crash has lat/long coordinates, and provides optional cell coloring by road name. The user can visit the Google Maps link to see where the coordinates place the crash; this can be additional information to help identify where the crash occurred.</t>
  </si>
  <si>
    <t>Audience</t>
  </si>
  <si>
    <t>This tool was developed for NCDOT staff, but can be used by any TEAAS User to assist them in conducting a crash analysis.</t>
  </si>
  <si>
    <t>How to Use</t>
  </si>
  <si>
    <t>2. Optional: Enter road names and set cell colors in the road coloring table below.</t>
  </si>
  <si>
    <t>Road Coloring (Optional)</t>
  </si>
  <si>
    <t>Category 1</t>
  </si>
  <si>
    <t>Category 2</t>
  </si>
  <si>
    <t>Category 3</t>
  </si>
  <si>
    <t>Category 4</t>
  </si>
  <si>
    <t>Category 5</t>
  </si>
  <si>
    <t>Category 6</t>
  </si>
  <si>
    <t>Category 7</t>
  </si>
  <si>
    <t>Category 8</t>
  </si>
  <si>
    <t>Category 9</t>
  </si>
  <si>
    <t>Category 10</t>
  </si>
  <si>
    <t>Category 11</t>
  </si>
  <si>
    <t>Category 12</t>
  </si>
  <si>
    <t>Category 13</t>
  </si>
  <si>
    <t>Category 14</t>
  </si>
  <si>
    <t>Category 15</t>
  </si>
  <si>
    <t>Category 16</t>
  </si>
  <si>
    <t>Color this cell with the color to be used for Category 5</t>
  </si>
  <si>
    <t>Color this cell with the color to be used for Category 6</t>
  </si>
  <si>
    <t>Color this cell with the color to be used for Category 7</t>
  </si>
  <si>
    <t>Color this cell with the color to be used for Category 8</t>
  </si>
  <si>
    <t>Color this cell with the color to be used for Category 9</t>
  </si>
  <si>
    <t>Color this cell with the color to be used for Category 10</t>
  </si>
  <si>
    <t>Color this cell with the color to be used for Category 11</t>
  </si>
  <si>
    <t>Color this cell with the color to be used for Category 12</t>
  </si>
  <si>
    <t>Color this cell with the color to be used for Category 13</t>
  </si>
  <si>
    <t>Color this cell with the color to be used for Category 14</t>
  </si>
  <si>
    <t>Color this cell with the color to be used for Category 15</t>
  </si>
  <si>
    <t>Color this cell with the color to be used for Category 16</t>
  </si>
  <si>
    <t>Enter Category 1 road names in the cells below this line.</t>
  </si>
  <si>
    <t>Enter Category 2 road names in the cells below this line.</t>
  </si>
  <si>
    <t>Enter Category 3 road names in the cells below this line.</t>
  </si>
  <si>
    <t>Enter Category 4 road names in the cells below this line.</t>
  </si>
  <si>
    <t>Enter Category 5 road names in the cells below this line.</t>
  </si>
  <si>
    <t>Enter Category 6 road names in the cells below this line.</t>
  </si>
  <si>
    <t>Enter Category 7 road names in the cells below this line.</t>
  </si>
  <si>
    <t>Enter Category 8 road names in the cells below this line.</t>
  </si>
  <si>
    <t>Enter Category 9 road names in the cells below this line.</t>
  </si>
  <si>
    <t>Enter Category 10 road names in the cells below this line.</t>
  </si>
  <si>
    <t>Enter Category 11 road names in the cells below this line.</t>
  </si>
  <si>
    <t>Enter Category 12 road names in the cells below this line.</t>
  </si>
  <si>
    <t>Enter Category 13 road names in the cells below this line.</t>
  </si>
  <si>
    <t>Enter Category 14 road names in the cells below this line.</t>
  </si>
  <si>
    <t>Enter Category 15 road names in the cells below this line.</t>
  </si>
  <si>
    <t>Enter Category 16 road names in the cells below this line.</t>
  </si>
  <si>
    <t>Color this cell with the color to be used for Category 1</t>
  </si>
  <si>
    <t>Color this cell with the color to be used for Category 2</t>
  </si>
  <si>
    <t>Color this cell with the color to be used for Category 3</t>
  </si>
  <si>
    <t>Color this cell with the color to be used for Category 4</t>
  </si>
  <si>
    <t>version 7/13/2026</t>
  </si>
  <si>
    <t xml:space="preserve"> Comments/Instruction on Location Information</t>
  </si>
  <si>
    <t>1. Copy the entire sheet from the TEAAS Detailed Fiche output and paste it into the sheet called "Original Fiche" (must be selected on Cell A1 in that sheet when pasting).</t>
  </si>
  <si>
    <t>Initial Crash ID</t>
  </si>
  <si>
    <t>Paste Initial Crash ID from TEAAS (for entire Fiche time period) into cell B3</t>
  </si>
  <si>
    <t xml:space="preserve">Use the text import wizard to delimit cells by "|" </t>
  </si>
  <si>
    <t>2. Optional: Paste the initial CrashID list into the "Initial Crash ID list" sheet</t>
  </si>
  <si>
    <t>Some people want to color the road name cells in the fiche to make it easier to visually distinguish which crashes are in study. If you want to do this, use the table below. 
Set the color for each category by coloring (fill with color) the box indicated. 
Enter road names for each category as needed. Make sure they are exactly as spelled in the features report (e.g., NC 132, SR 2478, COLLEGE, etc). Alternatively you can use '*' as a wild card, but case does need to match.</t>
  </si>
  <si>
    <t>Target Crash 3:</t>
  </si>
  <si>
    <t>Unclear</t>
  </si>
  <si>
    <t>RE</t>
  </si>
  <si>
    <t>RORR</t>
  </si>
  <si>
    <t>RORL</t>
  </si>
  <si>
    <t>SSSD</t>
  </si>
  <si>
    <t>RORS</t>
  </si>
  <si>
    <t>Bike</t>
  </si>
  <si>
    <t>Animal</t>
  </si>
  <si>
    <t>Other</t>
  </si>
  <si>
    <t>Wet Crashes</t>
  </si>
  <si>
    <t>Analysis Criteria</t>
  </si>
  <si>
    <t>All Crashes</t>
  </si>
  <si>
    <t>Bike/ Ped Crashes Only</t>
  </si>
  <si>
    <t>Assumptions</t>
  </si>
  <si>
    <t>Signal ID (if applicable):</t>
  </si>
  <si>
    <t>Statement of Problem:</t>
  </si>
  <si>
    <t>CMF Group</t>
  </si>
  <si>
    <t>Robeson</t>
  </si>
  <si>
    <t>Y-line (ft):</t>
  </si>
  <si>
    <t>Completion date Notes</t>
  </si>
  <si>
    <t>Cells that won't be in the final fiche</t>
  </si>
  <si>
    <t>Cells that are calculated</t>
  </si>
  <si>
    <t>Cells that are used in the One Pager</t>
  </si>
  <si>
    <t>Other Notes:</t>
  </si>
  <si>
    <t>Target -3</t>
  </si>
  <si>
    <t>1 Target</t>
  </si>
  <si>
    <t>2 Target</t>
  </si>
  <si>
    <t>3 Targets</t>
  </si>
  <si>
    <t>Equal Time Periods</t>
  </si>
  <si>
    <t>Unequal Time Periods</t>
  </si>
  <si>
    <t>Total Crashes Per Year</t>
  </si>
  <si>
    <t>Target Crashes Per Year</t>
  </si>
  <si>
    <t>Total Injury Crashes Per Year</t>
  </si>
  <si>
    <t>--</t>
  </si>
  <si>
    <t>Target Injury Crashes Per Year</t>
  </si>
  <si>
    <t>All Target Crashes Per Year</t>
  </si>
  <si>
    <t>All Target Injury Crashes Per Year</t>
  </si>
  <si>
    <t>3 Target</t>
  </si>
  <si>
    <t>Crash Trends (Total Crashes)</t>
  </si>
  <si>
    <t>Unequal Time Period Crash Trends (CPY)</t>
  </si>
  <si>
    <t>Comments from Reviewer</t>
  </si>
  <si>
    <t>Leg</t>
  </si>
  <si>
    <t>Road</t>
  </si>
  <si>
    <t>Speed</t>
  </si>
  <si>
    <t>AADT</t>
  </si>
  <si>
    <t>AADT Year</t>
  </si>
  <si>
    <t>Est</t>
  </si>
  <si>
    <t>CPY</t>
  </si>
  <si>
    <t>Labels for Map/ alt text</t>
  </si>
  <si>
    <t>Type of One Pager</t>
  </si>
  <si>
    <t>Comments for the user</t>
  </si>
  <si>
    <t xml:space="preserve">Place check marks next to the type of one pager you wish to generate. This determines the formatting of the crash data that gets sent to the word document. </t>
  </si>
  <si>
    <t>The data that generates the one pager comes from the "Assumptions", "Evaluation Set-Up", "Before", and "After" tabs. Make sure these tabs are finalized before generating the word document.</t>
  </si>
  <si>
    <t>If you have to remove a crash from the before and after periods, you will either have to generate a new one pager or manually edit the one pager using the charts past column U.</t>
  </si>
  <si>
    <t xml:space="preserve">You will have to manually copy the map into the one pager. </t>
  </si>
  <si>
    <t>The discussion will be written directly into the one pager. Feel fee to play with font size to fit the discussion on one page.</t>
  </si>
  <si>
    <t>Don't Edit These Columns (S-&gt; ).  Calculations are Automatic.</t>
  </si>
  <si>
    <t>Link</t>
  </si>
  <si>
    <t>Target-3 Severity Index</t>
  </si>
  <si>
    <t>Target-3?</t>
  </si>
  <si>
    <t>Target-3</t>
  </si>
  <si>
    <t>Target-3 KABCO</t>
  </si>
  <si>
    <t>Minor</t>
  </si>
  <si>
    <t xml:space="preserve">Major </t>
  </si>
  <si>
    <t>Speed Limit (mph)</t>
  </si>
  <si>
    <t>7.17.1</t>
  </si>
  <si>
    <t>Signing, Delineation &amp; Illumination</t>
  </si>
  <si>
    <t>Frontal Impact</t>
  </si>
  <si>
    <t>Convert from Minor Road Stop Control to All Way Stop Control Without Overhead Flashers</t>
  </si>
  <si>
    <t>All</t>
  </si>
  <si>
    <t>Injury Crashes</t>
  </si>
  <si>
    <t>Injury includes fatality and injury crashes</t>
  </si>
  <si>
    <t>1.66% of initial cost</t>
  </si>
  <si>
    <t>Evaluation of the Conversion from Two-Way Stop Sign Control to All-Way Stop Sign Control at 53 Locations in North Carolina</t>
  </si>
  <si>
    <t>YES</t>
  </si>
  <si>
    <t>07/2012</t>
  </si>
  <si>
    <t>NCDOT Reference Number</t>
  </si>
  <si>
    <t>Category</t>
  </si>
  <si>
    <t>Countermeasure Location Type</t>
  </si>
  <si>
    <t>Countermeasure Target Crash</t>
  </si>
  <si>
    <t>CRF Site Specifications</t>
  </si>
  <si>
    <t>CRF Crash Pattern Affected</t>
  </si>
  <si>
    <t>CRF Context</t>
  </si>
  <si>
    <t>CRF</t>
  </si>
  <si>
    <t>Status</t>
  </si>
  <si>
    <t>CMF</t>
  </si>
  <si>
    <t>Std Error</t>
  </si>
  <si>
    <t>Service Life</t>
  </si>
  <si>
    <t>Annual Maintenance</t>
  </si>
  <si>
    <t>Utility Costs</t>
  </si>
  <si>
    <t>Crash Cost Type</t>
  </si>
  <si>
    <t>Crash Costs F+A</t>
  </si>
  <si>
    <t>Crash Costs B+C</t>
  </si>
  <si>
    <t>Crash Costs PDO</t>
  </si>
  <si>
    <t>Study Name</t>
  </si>
  <si>
    <t xml:space="preserve">Report Located </t>
  </si>
  <si>
    <t>Study Year</t>
  </si>
  <si>
    <t>Study Page</t>
  </si>
  <si>
    <t>CMF Web #</t>
  </si>
  <si>
    <t>Star Rating</t>
  </si>
  <si>
    <t>Comments</t>
  </si>
  <si>
    <t>Original Date Discussed</t>
  </si>
  <si>
    <t>Date Approved</t>
  </si>
  <si>
    <t>CRF Used (Copy entire row from CRF Sheet)</t>
  </si>
  <si>
    <t xml:space="preserve">Division </t>
  </si>
  <si>
    <t>Safety Project</t>
  </si>
  <si>
    <t>Countermeasure (short Hand)</t>
  </si>
  <si>
    <t>How did this do?</t>
  </si>
  <si>
    <t>What is Expected Crash Reduction?</t>
  </si>
  <si>
    <t>Disclaimer</t>
  </si>
  <si>
    <t>PDO Crashes</t>
  </si>
  <si>
    <t>KAB Injury Crashes</t>
  </si>
  <si>
    <t>Fatal and Class A Injury Crashes</t>
  </si>
  <si>
    <t>Class B and C Injury Crashes</t>
  </si>
  <si>
    <t>Automatically Calculated CRF Crash Patterns</t>
  </si>
  <si>
    <t>Fatal Crashes</t>
  </si>
  <si>
    <t>Non-Fatal Injury Crashes</t>
  </si>
  <si>
    <t>Wet Road Crashes</t>
  </si>
  <si>
    <t>Target Injury Crashes</t>
  </si>
  <si>
    <t>Nighttime Crashes</t>
  </si>
  <si>
    <t>Nighttime Fatal Crashes</t>
  </si>
  <si>
    <t>Nighttime Non-Fatal Injury Crashes</t>
  </si>
  <si>
    <t>Nighttime PDO Crashes</t>
  </si>
  <si>
    <t>Daytime Crashes</t>
  </si>
  <si>
    <t>Percent Change</t>
  </si>
  <si>
    <t>Signalized (Y or N)?</t>
  </si>
  <si>
    <t>Is Rail Involved?</t>
  </si>
  <si>
    <t>Are HSIP commments included?</t>
  </si>
  <si>
    <t>Bike/Ped Countermeasure</t>
  </si>
  <si>
    <t>Manual Entry</t>
  </si>
  <si>
    <t>Standard Comment</t>
  </si>
  <si>
    <t>Length</t>
  </si>
  <si>
    <t>Crashes Per Year by Project Time Period</t>
  </si>
  <si>
    <t>Before
Period</t>
  </si>
  <si>
    <t>After
Period</t>
  </si>
  <si>
    <t>Unequal Time Period Start Date</t>
  </si>
  <si>
    <t>Division #</t>
  </si>
  <si>
    <t>Bertie</t>
  </si>
  <si>
    <t>Camden</t>
  </si>
  <si>
    <t>Chowan</t>
  </si>
  <si>
    <t>Currituck</t>
  </si>
  <si>
    <t>Dare</t>
  </si>
  <si>
    <t>Gates</t>
  </si>
  <si>
    <t>Hertford</t>
  </si>
  <si>
    <t>Hyde</t>
  </si>
  <si>
    <t>Martin</t>
  </si>
  <si>
    <t>Northampton</t>
  </si>
  <si>
    <t>Pasquotank</t>
  </si>
  <si>
    <t>Perquimans</t>
  </si>
  <si>
    <t>Tyrrell</t>
  </si>
  <si>
    <t>Washington</t>
  </si>
  <si>
    <t>Beaufort</t>
  </si>
  <si>
    <t>Carteret</t>
  </si>
  <si>
    <t>Craven</t>
  </si>
  <si>
    <t>Greene</t>
  </si>
  <si>
    <t>Jones</t>
  </si>
  <si>
    <t>Lenoir</t>
  </si>
  <si>
    <t>Pamlico</t>
  </si>
  <si>
    <t>Pitt</t>
  </si>
  <si>
    <t>Brunswick</t>
  </si>
  <si>
    <t>Duplin</t>
  </si>
  <si>
    <t>New Hanover</t>
  </si>
  <si>
    <t>Onslow</t>
  </si>
  <si>
    <t>Pender</t>
  </si>
  <si>
    <t>Sampson</t>
  </si>
  <si>
    <t>Edgecombe</t>
  </si>
  <si>
    <t>Halifax</t>
  </si>
  <si>
    <t>Johnston</t>
  </si>
  <si>
    <t>Nash</t>
  </si>
  <si>
    <t>Wayne</t>
  </si>
  <si>
    <t>Wilson</t>
  </si>
  <si>
    <t>Durham</t>
  </si>
  <si>
    <t>Franklin</t>
  </si>
  <si>
    <t>Granville</t>
  </si>
  <si>
    <t>Person</t>
  </si>
  <si>
    <t>Vance</t>
  </si>
  <si>
    <t>Wake</t>
  </si>
  <si>
    <t>Warren</t>
  </si>
  <si>
    <t>Bladen</t>
  </si>
  <si>
    <t>Columbus</t>
  </si>
  <si>
    <t>Cumberland</t>
  </si>
  <si>
    <t>Harnett</t>
  </si>
  <si>
    <t>Alamance</t>
  </si>
  <si>
    <t>Caswell</t>
  </si>
  <si>
    <t>Guilford</t>
  </si>
  <si>
    <t>Orange</t>
  </si>
  <si>
    <t>Rockingham</t>
  </si>
  <si>
    <t>Chatham</t>
  </si>
  <si>
    <t>Hoke</t>
  </si>
  <si>
    <t>Lee</t>
  </si>
  <si>
    <t>Montgomery</t>
  </si>
  <si>
    <t>Moore</t>
  </si>
  <si>
    <t>Randolph</t>
  </si>
  <si>
    <t>Richmond</t>
  </si>
  <si>
    <t>Scotland</t>
  </si>
  <si>
    <t>Davidson</t>
  </si>
  <si>
    <t>Davie</t>
  </si>
  <si>
    <t>Forsyth</t>
  </si>
  <si>
    <t>Rowan</t>
  </si>
  <si>
    <t>Stokes</t>
  </si>
  <si>
    <t>Anson</t>
  </si>
  <si>
    <t>Cabarrus</t>
  </si>
  <si>
    <t>Mecklenburg</t>
  </si>
  <si>
    <t>Stanly</t>
  </si>
  <si>
    <t>Union</t>
  </si>
  <si>
    <t>Alleghany</t>
  </si>
  <si>
    <t>Ashe</t>
  </si>
  <si>
    <t>Avery</t>
  </si>
  <si>
    <t>Caldwell</t>
  </si>
  <si>
    <t>Surry</t>
  </si>
  <si>
    <t>Watauga</t>
  </si>
  <si>
    <t>Wilkes</t>
  </si>
  <si>
    <t>Yadkin</t>
  </si>
  <si>
    <t>Alexander</t>
  </si>
  <si>
    <t>Catawba</t>
  </si>
  <si>
    <t>Cleveland</t>
  </si>
  <si>
    <t>Gaston</t>
  </si>
  <si>
    <t>Iredell</t>
  </si>
  <si>
    <t>Lincoln</t>
  </si>
  <si>
    <t>Buncombe</t>
  </si>
  <si>
    <t>Burke</t>
  </si>
  <si>
    <t>Madison</t>
  </si>
  <si>
    <t>McDowell</t>
  </si>
  <si>
    <t>Mitchell</t>
  </si>
  <si>
    <t>Rutherford</t>
  </si>
  <si>
    <t>Yancey</t>
  </si>
  <si>
    <t>Cherokee</t>
  </si>
  <si>
    <t>Clay</t>
  </si>
  <si>
    <t>Graham</t>
  </si>
  <si>
    <t>Haywood</t>
  </si>
  <si>
    <t>Henderson</t>
  </si>
  <si>
    <t>Jackson</t>
  </si>
  <si>
    <t>Macon</t>
  </si>
  <si>
    <t>Polk</t>
  </si>
  <si>
    <t>Swain</t>
  </si>
  <si>
    <t>Transylvania</t>
  </si>
  <si>
    <t>N/A</t>
  </si>
  <si>
    <t>Column1</t>
  </si>
  <si>
    <t>Column2</t>
  </si>
  <si>
    <t>Column3</t>
  </si>
  <si>
    <t>Column4</t>
  </si>
  <si>
    <t>Column5</t>
  </si>
  <si>
    <t>Column6</t>
  </si>
  <si>
    <t>Division</t>
  </si>
  <si>
    <t>To</t>
  </si>
  <si>
    <t>Regional Traffic Engineer</t>
  </si>
  <si>
    <t>adgood@ncdot.gov</t>
  </si>
  <si>
    <t>Region Traffic Safety Engineer</t>
  </si>
  <si>
    <t>admoore4@ncdot.gov</t>
  </si>
  <si>
    <t>Division Traffic Engineer</t>
  </si>
  <si>
    <t>jdavidson@ncdot.gov</t>
  </si>
  <si>
    <t>Regional Signals Engineer</t>
  </si>
  <si>
    <t>CC</t>
  </si>
  <si>
    <t>jportanova@ncdot.gov</t>
  </si>
  <si>
    <t>stroy@ncdot.gov</t>
  </si>
  <si>
    <t>bgmurphy@ncdot.gov</t>
  </si>
  <si>
    <t>clsimpson@ncdot.gov</t>
  </si>
  <si>
    <t>John Grant</t>
  </si>
  <si>
    <t>jhgrant@ncdot.gov</t>
  </si>
  <si>
    <t>Lead Regional Traffic Engineer</t>
  </si>
  <si>
    <t>rwthompson@ncdot.gov</t>
  </si>
  <si>
    <t>State Signals Engineer (Doumit Ishak)</t>
  </si>
  <si>
    <t>Division Engineer</t>
  </si>
  <si>
    <t>rksawyer@ncdot.gov</t>
  </si>
  <si>
    <t>If rail is invovled (Nancy Horne)</t>
  </si>
  <si>
    <t>If HSIP comments are included (Stephen Lowry)</t>
  </si>
  <si>
    <t>If Bike/ Ped Countermeasure (Brennon Fuqua)</t>
  </si>
  <si>
    <t>Cells to Copy</t>
  </si>
  <si>
    <t>TO</t>
  </si>
  <si>
    <t>Column7</t>
  </si>
  <si>
    <t>Column8</t>
  </si>
  <si>
    <t>Column9</t>
  </si>
  <si>
    <t>Column10</t>
  </si>
  <si>
    <t>Column11</t>
  </si>
  <si>
    <t>Column12</t>
  </si>
  <si>
    <t>Column13</t>
  </si>
  <si>
    <t>Column14</t>
  </si>
  <si>
    <t>Column15</t>
  </si>
  <si>
    <t>Column16</t>
  </si>
  <si>
    <t>Column17</t>
  </si>
  <si>
    <t>Column18</t>
  </si>
  <si>
    <t>Column19</t>
  </si>
  <si>
    <t>Column20</t>
  </si>
  <si>
    <t>Last Verified</t>
  </si>
  <si>
    <t>Alicia Good</t>
  </si>
  <si>
    <t>Anthony D. Moore</t>
  </si>
  <si>
    <t>Jason Davidson</t>
  </si>
  <si>
    <t>Zachary Little</t>
  </si>
  <si>
    <t>zmlittle@ncdot.gov</t>
  </si>
  <si>
    <t>Rusty Thompson</t>
  </si>
  <si>
    <t>Ronnie K. Sawyer, PE</t>
  </si>
  <si>
    <t>Chris G Smith</t>
  </si>
  <si>
    <t>cgsmith2@ncdot.gov</t>
  </si>
  <si>
    <t>Mary Beth Houston</t>
  </si>
  <si>
    <t>mbhouston@ncdot.gov</t>
  </si>
  <si>
    <t>Dogulas LaFave</t>
  </si>
  <si>
    <t>dlafave@ncdot.gov</t>
  </si>
  <si>
    <t>Patrick Wurzel</t>
  </si>
  <si>
    <t>jpwurzel@ncdot.gov</t>
  </si>
  <si>
    <t>Stoney Mathis</t>
  </si>
  <si>
    <t>sdmathis@ncdot.gov</t>
  </si>
  <si>
    <t>Trevor Carroll</t>
  </si>
  <si>
    <t>tkcarroll@ncdot.gov</t>
  </si>
  <si>
    <t>Paul Marak</t>
  </si>
  <si>
    <t>pmarak@ncdot.gov</t>
  </si>
  <si>
    <t>Matt Clarke</t>
  </si>
  <si>
    <t>wmclarke@ncdot.gov</t>
  </si>
  <si>
    <t>Tyler Fowler</t>
  </si>
  <si>
    <t>tjfowler2@ncdot.gov</t>
  </si>
  <si>
    <t>Vacant</t>
  </si>
  <si>
    <t>Ashley Lowery + Ben Upshaw</t>
  </si>
  <si>
    <t>aclowery1@ncdot.gov</t>
  </si>
  <si>
    <t>Rob Ziemba</t>
  </si>
  <si>
    <t>rjziemba@ncdot.gov</t>
  </si>
  <si>
    <t>ALREADY INCLUDED</t>
  </si>
  <si>
    <t>Becca Gallas</t>
  </si>
  <si>
    <t>rjgallas@ncdot.gov</t>
  </si>
  <si>
    <t>Robert (Coke) Gray</t>
  </si>
  <si>
    <t>rcgray@ncdot.gov</t>
  </si>
  <si>
    <t>Cedrick D Graham</t>
  </si>
  <si>
    <t>cdgraham1@ncdot.gov</t>
  </si>
  <si>
    <t>James Flowers</t>
  </si>
  <si>
    <t>jvflowers@ncdot.gov</t>
  </si>
  <si>
    <t>Lee Jernigan</t>
  </si>
  <si>
    <t>wljernigan@ncdot.gov</t>
  </si>
  <si>
    <t>Brian Thomas</t>
  </si>
  <si>
    <t>bcthomas@ncdot.gov</t>
  </si>
  <si>
    <t>John Button</t>
  </si>
  <si>
    <t>jbutton@ncdot.gov</t>
  </si>
  <si>
    <t>Dawn McPherson</t>
  </si>
  <si>
    <t>dmmcpherson1@ncdot.gov</t>
  </si>
  <si>
    <t>Wright Archer, III</t>
  </si>
  <si>
    <t>warcher@ncdot.gov</t>
  </si>
  <si>
    <t>Zachary Hussey</t>
  </si>
  <si>
    <t>zhussey@ncdot.gov</t>
  </si>
  <si>
    <t>Reuben Blakley</t>
  </si>
  <si>
    <t>rblakley@ncdot.gov</t>
  </si>
  <si>
    <t>Ryan Newcomb</t>
  </si>
  <si>
    <t>rcnewcomb@ncdot.gov</t>
  </si>
  <si>
    <t>John Rhyne</t>
  </si>
  <si>
    <t>jprhyne@ncdot.gov</t>
  </si>
  <si>
    <t>Wendy Taylor</t>
  </si>
  <si>
    <t>wataylor1@ncdot.gov</t>
  </si>
  <si>
    <t>Neda Fahim</t>
  </si>
  <si>
    <t>nfahim@ncdot.gov</t>
  </si>
  <si>
    <t>Tou Lee</t>
  </si>
  <si>
    <t>tylee@ncdot.gov</t>
  </si>
  <si>
    <t>Scott Collier</t>
  </si>
  <si>
    <t>smcollier@ncdot.gov</t>
  </si>
  <si>
    <t>Felix A. Obregon</t>
  </si>
  <si>
    <t>faobregon@ncdot.gov</t>
  </si>
  <si>
    <t>Randy Steskal</t>
  </si>
  <si>
    <t>rdsteskal@ncdot.gov</t>
  </si>
  <si>
    <t>Touger Yang</t>
  </si>
  <si>
    <t>tyang4@ncdot.gov</t>
  </si>
  <si>
    <t>Chris Brown</t>
  </si>
  <si>
    <t>cjbrown2@ncdot.gov</t>
  </si>
  <si>
    <t>Michael Poe</t>
  </si>
  <si>
    <t>mlpoe@ncdot.gov</t>
  </si>
  <si>
    <t>Scott M. Poston</t>
  </si>
  <si>
    <t>smposton1@ncdot.gov</t>
  </si>
  <si>
    <t>Mark Stafford</t>
  </si>
  <si>
    <t>mstafford@ncdot.gov</t>
  </si>
  <si>
    <t>Jeremy Chapman</t>
  </si>
  <si>
    <t>jrchapman1@ncdot.gov</t>
  </si>
  <si>
    <t>Suzan Moore</t>
  </si>
  <si>
    <t>smoore48@ncdot.gov</t>
  </si>
  <si>
    <t>Randy Tritt</t>
  </si>
  <si>
    <t>rtritt@ncdot.gov</t>
  </si>
  <si>
    <t>Tim Anderson</t>
  </si>
  <si>
    <t>twanderson@ncdot.gov</t>
  </si>
  <si>
    <t>Steve Buchanan</t>
  </si>
  <si>
    <t>smbuchanan@ncdot.gov</t>
  </si>
  <si>
    <t>Wesley Grindstaff</t>
  </si>
  <si>
    <t>wtgrindstaff@ncdot.gov</t>
  </si>
  <si>
    <t>Lead Regional Field Operations Engineer (John Grant)</t>
  </si>
  <si>
    <t>Safety evaluation Engineer (Carrie Simpson)</t>
  </si>
  <si>
    <t>Traffic Safety Systems Engineer (Vacant)</t>
  </si>
  <si>
    <t xml:space="preserve"> State Traffic Safety Engineer (Brian Murphy)</t>
  </si>
  <si>
    <t>Deputy State Traffic Engineer - Safety (Shawn Troy)</t>
  </si>
  <si>
    <t>State Traffic Engineer (Jennifer Portanova)</t>
  </si>
  <si>
    <t>Last Verified Date</t>
  </si>
  <si>
    <t>Email</t>
  </si>
  <si>
    <t>Position</t>
  </si>
  <si>
    <t>Deputy State Traffic Engineer - Mobility (Jeffrey Dale)</t>
  </si>
  <si>
    <t>jwdale@ncdot.gov</t>
  </si>
  <si>
    <t>For VBA Code</t>
  </si>
  <si>
    <t>shortlocation</t>
  </si>
  <si>
    <t>File Num</t>
  </si>
  <si>
    <t>TIP</t>
  </si>
  <si>
    <t>Map/Satellite Views (with Alt text) - For Review Only</t>
  </si>
  <si>
    <t>If you are doing an unequal time period evaluation, click on the checkmark box in cell B14 and input the start date into cell D14</t>
  </si>
  <si>
    <t>The determination of the crashes in the study should be finalized/set-in-stone before clicking Final Sort.  Deleting and adjusting cells in the tab may break the formulas used in the calculations.</t>
  </si>
  <si>
    <t xml:space="preserve">NOTE: If you have to click Final Sort again then the columns L and M will be deleted. </t>
  </si>
  <si>
    <t xml:space="preserve">This data will automaticaly be sorted in the same order of the TEAAS study’s crash #s.  This allows for consistency between this workbook’s crash #s with the TEAAS study’s crash #s and the collision diagram’s crash #s.  Reviewers would find this consistency helpful.   </t>
  </si>
  <si>
    <r>
      <t xml:space="preserve">Note: If you have a study with 3 targets, you can unhide column N to reveal a </t>
    </r>
    <r>
      <rPr>
        <b/>
        <sz val="11"/>
        <color rgb="FF00B050"/>
        <rFont val="Calibri"/>
        <family val="2"/>
        <scheme val="minor"/>
      </rPr>
      <t>Target-3</t>
    </r>
    <r>
      <rPr>
        <sz val="11"/>
        <color theme="1"/>
        <rFont val="Calibri"/>
        <family val="2"/>
        <scheme val="minor"/>
      </rPr>
      <t xml:space="preserve"> Crash column.</t>
    </r>
  </si>
  <si>
    <t>The work should now be done for this Tab.  Move on to the One Pager Tab.</t>
  </si>
  <si>
    <t>If you wish to overwrite anything that is automatically filled out from a different tab in this first section, please feel free to do so. But note that the link to other sheets will be broken.</t>
  </si>
  <si>
    <t>There are 6 rows under the Additional information table that the user should feel free to use (or not use) as they see fit.  If a row is empty, you may delete the row from the word document.</t>
  </si>
  <si>
    <t>Template Path</t>
  </si>
  <si>
    <t>Make sure to include a the folder path to where the templates for the one pagers live in cell I25.</t>
  </si>
  <si>
    <t>Once you are  ready, click the appropriate button and the one pagers will be generated. Refrain from touching excel or word during this time. It will automatically save the One Pager as the OrderID_OnePager.docx</t>
  </si>
  <si>
    <t>Alt Text (Copy each row into the Alt Text for the Map)</t>
  </si>
  <si>
    <t>4. Click the button to run the FichePrep macro. This will sort the crash data by Milepost Road, Milepost, On Road, From Road, and Distance. It will also add a column to provide a link to Google Maps if the crash has lat/long coordinates and columns for IS?, Dist from Int, Location Notes, and Crash Notes. If you have entered road names in the Road Coloring section, it will color the road names according to how you set the cell color. If you've put the initial crash ID list in the "Initial Crash ID List" sheet, it will label all the IS crashes. The results of this step will be place in the "Filtered Fiche" sheet.</t>
  </si>
  <si>
    <t>Overturn</t>
  </si>
  <si>
    <t>Angle</t>
  </si>
  <si>
    <t>At Fault</t>
  </si>
  <si>
    <t>LTSR</t>
  </si>
  <si>
    <t>LTDR</t>
  </si>
  <si>
    <t>RTSR</t>
  </si>
  <si>
    <t>RTDR</t>
  </si>
  <si>
    <t>NB</t>
  </si>
  <si>
    <t>SB</t>
  </si>
  <si>
    <t>EB</t>
  </si>
  <si>
    <t>WB</t>
  </si>
  <si>
    <t>U-Turn</t>
  </si>
  <si>
    <t>HeadOn</t>
  </si>
  <si>
    <t>Time Periods (From Evaluation Set Up)</t>
  </si>
  <si>
    <r>
      <t xml:space="preserve">Click the Final Sort Button in the Filtered Fiche sheet. It will copy the Crash ID, Date, T, C, F, L, and S columns from your filtered fiche into this tab's Columns </t>
    </r>
    <r>
      <rPr>
        <b/>
        <sz val="11"/>
        <color theme="1"/>
        <rFont val="Calibri"/>
        <family val="2"/>
        <scheme val="minor"/>
      </rPr>
      <t>A -&gt; G</t>
    </r>
    <r>
      <rPr>
        <sz val="11"/>
        <color theme="1"/>
        <rFont val="Calibri"/>
        <family val="2"/>
        <scheme val="minor"/>
      </rPr>
      <t xml:space="preserve">. It will also automatically bring in columns </t>
    </r>
    <r>
      <rPr>
        <b/>
        <sz val="11"/>
        <color theme="1"/>
        <rFont val="Calibri"/>
        <family val="2"/>
        <scheme val="minor"/>
      </rPr>
      <t>X --&gt;AA.</t>
    </r>
  </si>
  <si>
    <t>Target 1 Crashes</t>
  </si>
  <si>
    <t>Target 1 Crash Severity Index</t>
  </si>
  <si>
    <t>Target 2 Crashes</t>
  </si>
  <si>
    <t>Target 2 Crash Severity Index</t>
  </si>
  <si>
    <t>Target 1 Crashes Per Year</t>
  </si>
  <si>
    <t>Target 2 Crashes Per Year</t>
  </si>
  <si>
    <t xml:space="preserve">Location </t>
  </si>
  <si>
    <t>Used in Fiche Prep Macro</t>
  </si>
  <si>
    <t>SSDD</t>
  </si>
  <si>
    <t>When creating the pdf, instead of printing as pdf, you will need to Save As a PDF.</t>
  </si>
  <si>
    <t>North</t>
  </si>
  <si>
    <t>South</t>
  </si>
  <si>
    <t>East</t>
  </si>
  <si>
    <t>Municipality</t>
  </si>
  <si>
    <t>On Road</t>
  </si>
  <si>
    <t>Miles</t>
  </si>
  <si>
    <t>Dir From</t>
  </si>
  <si>
    <t>From Road</t>
  </si>
  <si>
    <t>Toward Road</t>
  </si>
  <si>
    <t>Milepost Road</t>
  </si>
  <si>
    <t>MP</t>
  </si>
  <si>
    <t>MA</t>
  </si>
  <si>
    <t>Latitude</t>
  </si>
  <si>
    <t>Longitude</t>
  </si>
  <si>
    <t>Source</t>
  </si>
  <si>
    <t>RURAL</t>
  </si>
  <si>
    <t>DMV349</t>
  </si>
  <si>
    <t>E</t>
  </si>
  <si>
    <t>N</t>
  </si>
  <si>
    <t>W</t>
  </si>
  <si>
    <t>ITRE_SEVEREINJURY</t>
  </si>
  <si>
    <t>ITRE_CMV</t>
  </si>
  <si>
    <t>DMV349CLEANED</t>
  </si>
  <si>
    <t>SE</t>
  </si>
  <si>
    <t>SW</t>
  </si>
  <si>
    <t>NE</t>
  </si>
  <si>
    <t>NW</t>
  </si>
  <si>
    <t>IS?</t>
  </si>
  <si>
    <t>Dist From Int</t>
  </si>
  <si>
    <t>Location Notes</t>
  </si>
  <si>
    <t>IS</t>
  </si>
  <si>
    <t>NIS</t>
  </si>
  <si>
    <t>SBT</t>
  </si>
  <si>
    <t>SBL</t>
  </si>
  <si>
    <t>ADD</t>
  </si>
  <si>
    <t>EBT</t>
  </si>
  <si>
    <t>Chris Bahret, PE</t>
  </si>
  <si>
    <t>VHB</t>
  </si>
  <si>
    <t>Crash Type</t>
  </si>
  <si>
    <t>Vehicle 1</t>
  </si>
  <si>
    <t>Vehicle 2</t>
  </si>
  <si>
    <t>WBL</t>
  </si>
  <si>
    <t>NBT</t>
  </si>
  <si>
    <t>Night crashes</t>
  </si>
  <si>
    <t>Rear end crashes (total)</t>
  </si>
  <si>
    <t>Pick</t>
  </si>
  <si>
    <t>Pick a Trends line in J and the label and counts fill in; edit K/L/M freely afterwards.</t>
  </si>
  <si>
    <t>NCDOT_TSU</t>
  </si>
  <si>
    <t>Lane Departures</t>
  </si>
  <si>
    <t>AT FAULT</t>
  </si>
  <si>
    <t>Custom Count</t>
  </si>
  <si>
    <t>By Dir</t>
  </si>
  <si>
    <t>FI At Fault</t>
  </si>
  <si>
    <t>Target 1 At Fault</t>
  </si>
  <si>
    <t>FTS</t>
  </si>
  <si>
    <t>Column I</t>
  </si>
  <si>
    <t>Target 1: NB At Fault</t>
  </si>
  <si>
    <t>Target 1: SB At Fault</t>
  </si>
  <si>
    <t>Target 1: EB At Fault</t>
  </si>
  <si>
    <t>Target 1: WB At Fault</t>
  </si>
  <si>
    <t>TOTAL</t>
  </si>
  <si>
    <t>Target 1: Unclear At Fault</t>
  </si>
  <si>
    <t>Pedestrian</t>
  </si>
  <si>
    <t>LT vehicle</t>
  </si>
  <si>
    <t>LD By Dir</t>
  </si>
  <si>
    <t>Target 2 At Fault</t>
  </si>
  <si>
    <t>Column J</t>
  </si>
  <si>
    <t>Target 2: NB At Fault</t>
  </si>
  <si>
    <t>Target 2: SB At Fault</t>
  </si>
  <si>
    <t>Target 2: EB At Fault</t>
  </si>
  <si>
    <t>Totals</t>
  </si>
  <si>
    <t>Target 2: WB At Fault</t>
  </si>
  <si>
    <t>Target 2: Unclear At Fault</t>
  </si>
  <si>
    <t>Target 3 At Fault</t>
  </si>
  <si>
    <t>Column K</t>
  </si>
  <si>
    <t>Night Crashes</t>
  </si>
  <si>
    <t>Target 3: NB At Fault</t>
  </si>
  <si>
    <t>Target 3: SB At Fault</t>
  </si>
  <si>
    <t>Avoidance</t>
  </si>
  <si>
    <t>Target 3: EB At Fault</t>
  </si>
  <si>
    <t>Target 3: WB At Fault</t>
  </si>
  <si>
    <t>Target 3: Unclear At Fault</t>
  </si>
  <si>
    <t>RT vehicle</t>
  </si>
  <si>
    <t>Total targets at fault</t>
  </si>
  <si>
    <t>Target Crashes: NB At Fault</t>
  </si>
  <si>
    <t>Target Crashes: SB At Fault</t>
  </si>
  <si>
    <t>Target Crashes: EB At Fault</t>
  </si>
  <si>
    <t>Target Crashes: WB At Fault</t>
  </si>
  <si>
    <t>Target Crashes: Unclear At Fault</t>
  </si>
  <si>
    <t>U vehicle</t>
  </si>
  <si>
    <t>West</t>
  </si>
  <si>
    <t>Location ID</t>
  </si>
  <si>
    <t>VOLUME</t>
  </si>
  <si>
    <t>Direction</t>
  </si>
  <si>
    <t>2-WAY</t>
  </si>
  <si>
    <t>RouteID</t>
  </si>
  <si>
    <t>Located On</t>
  </si>
  <si>
    <t>Approach</t>
  </si>
  <si>
    <t>WEST OF</t>
  </si>
  <si>
    <t>Crossroad</t>
  </si>
  <si>
    <t>Route Class</t>
  </si>
  <si>
    <t>SR</t>
  </si>
  <si>
    <t>Functional Class</t>
  </si>
  <si>
    <t>Major Collector</t>
  </si>
  <si>
    <t>AADT_2002</t>
  </si>
  <si>
    <t>AADT_2003</t>
  </si>
  <si>
    <t>AADT_2004</t>
  </si>
  <si>
    <t>AADT_2005</t>
  </si>
  <si>
    <t>AADT_2006</t>
  </si>
  <si>
    <t>AADT_2007</t>
  </si>
  <si>
    <t>AADT_2008</t>
  </si>
  <si>
    <t>AADT_2009</t>
  </si>
  <si>
    <t>AADT_2010</t>
  </si>
  <si>
    <t>AADT_2011</t>
  </si>
  <si>
    <t>AADT_2012</t>
  </si>
  <si>
    <t>AADT_2013</t>
  </si>
  <si>
    <t>AADT_2014</t>
  </si>
  <si>
    <t>AADT_2015</t>
  </si>
  <si>
    <t>AADT_2016</t>
  </si>
  <si>
    <t>AADT_2017</t>
  </si>
  <si>
    <t>AADT_2018</t>
  </si>
  <si>
    <t>AADT_2019</t>
  </si>
  <si>
    <t>AADT_2020</t>
  </si>
  <si>
    <t>AADT_2021</t>
  </si>
  <si>
    <t>AADT_2022</t>
  </si>
  <si>
    <t>AADT_2023</t>
  </si>
  <si>
    <t>AADT_2024</t>
  </si>
  <si>
    <t>AADT_2025</t>
  </si>
  <si>
    <t>EAST OF</t>
  </si>
  <si>
    <t>NS</t>
  </si>
  <si>
    <t>Local</t>
  </si>
  <si>
    <t>SOUTH OF</t>
  </si>
  <si>
    <t>08-17-5149 (TIP #SS-4908BK)</t>
  </si>
  <si>
    <t>35.178191, -79.427958</t>
  </si>
  <si>
    <t>Left turn same road type crashes are occurring</t>
  </si>
  <si>
    <t>08-0474</t>
  </si>
  <si>
    <t>SR 1309 (Morganton Road) at SR 1905 (Felton Capel Lane)/Beverly Lane</t>
  </si>
  <si>
    <t>Southern Pines</t>
  </si>
  <si>
    <t>Construction began and completed on November 2, 2021 per compliance memo</t>
  </si>
  <si>
    <t>Left Turn Same Roadway (LTSR) Crashes on All Approaches</t>
  </si>
  <si>
    <t>SR 1309 (Morganton Road)</t>
  </si>
  <si>
    <t>SR 1905 (Felton Capel Lane)</t>
  </si>
  <si>
    <t>Beverly Lane</t>
  </si>
  <si>
    <t>SR 1309 (W Morganton Rd)</t>
  </si>
  <si>
    <t>SR 1931 Brucewood Rd</t>
  </si>
  <si>
    <t>Minor Arterial</t>
  </si>
  <si>
    <t>US 15-501</t>
  </si>
  <si>
    <t>SR 1905 (Felton Capel Ln)</t>
  </si>
  <si>
    <t>NORTH OF</t>
  </si>
  <si>
    <t>SR 1309 W Morganton Rd</t>
  </si>
  <si>
    <t>No station</t>
  </si>
  <si>
    <t>Leg #4 (Beverly Lane) has no NCDOT count station; 500 vpd assumed for all years, which is what the funding request TEV implies: 17,450 = (15,000 + 15,000 + 4,400 + 500)/2.</t>
  </si>
  <si>
    <t>Signal went from 2-phase with permissive left turns on all approaches (2013 POR) to 8-phase with protected/permissive FYA left turns on all four approaches (SS-4908BK signal plan, 2017). SR 1905 is Felton Capel Lane; the project description lists Felton Chapel Rd. Beverly Lane has no posted speed (signal plans lists 25 mph) and no count station; 500 vpd used, which is what the funding request TEV of 17,450 implies. Nearby changes during the after period: SM-5708A left turn lanes and signal upgrade at US 15-501/SR 1205, about 0.2 mi west (let 3/2022), and Morganton Park South retail with Carolina Green Pkwy (Morganton Rd to US 15-501), opened 2024. Assignment comments flag fatal M230911001 (9/11/2023, reported on Morganton Rd near Pinecrest Plaza) as nearby; check whether it is within 150 ft.</t>
  </si>
  <si>
    <t>2020 = 0.85 x the interpolated value (COVID)</t>
  </si>
  <si>
    <t>Install flashing yellow arrows on all approaches</t>
  </si>
  <si>
    <t>CRASH ID</t>
  </si>
  <si>
    <t>ON RD CD</t>
  </si>
  <si>
    <t>SVRTY</t>
  </si>
  <si>
    <t>DATE</t>
  </si>
  <si>
    <t>TYPE</t>
  </si>
  <si>
    <t>01/04/2017 12:23</t>
  </si>
  <si>
    <t>05/23/2017 15:14</t>
  </si>
  <si>
    <t>07/28/2017 19:59</t>
  </si>
  <si>
    <t>09/07/2017 07:55</t>
  </si>
  <si>
    <t>12/01/2017 16:31</t>
  </si>
  <si>
    <t>12/04/2017 10:50</t>
  </si>
  <si>
    <t>12/06/2017 08:29</t>
  </si>
  <si>
    <t>04/19/2018 12:23</t>
  </si>
  <si>
    <t>09/09/2018 21:08</t>
  </si>
  <si>
    <t>11/05/2018 07:52</t>
  </si>
  <si>
    <t>12/19/2018 08:42</t>
  </si>
  <si>
    <t>08/19/2019 14:53</t>
  </si>
  <si>
    <t>08/22/2019 10:39</t>
  </si>
  <si>
    <t>03/11/2020 08:44</t>
  </si>
  <si>
    <t>08/26/2020 14:03</t>
  </si>
  <si>
    <t>09/21/2020 18:11</t>
  </si>
  <si>
    <t>05/18/2021 15:45</t>
  </si>
  <si>
    <t>05/26/2021 16:06</t>
  </si>
  <si>
    <t>10/12/2021 08:00</t>
  </si>
  <si>
    <t>12/14/2021 15:25</t>
  </si>
  <si>
    <t>12/23/2021 11:27</t>
  </si>
  <si>
    <t>04/01/2022 05:01</t>
  </si>
  <si>
    <t>04/09/2022 08:11</t>
  </si>
  <si>
    <t>06/30/2022 16:51</t>
  </si>
  <si>
    <t>07/06/2022 17:05</t>
  </si>
  <si>
    <t>08/20/2022 15:02</t>
  </si>
  <si>
    <t>10/14/2022 16:15</t>
  </si>
  <si>
    <t>01/05/2023 21:52</t>
  </si>
  <si>
    <t>03/14/2023 16:41</t>
  </si>
  <si>
    <t>08/03/2023 17:38</t>
  </si>
  <si>
    <t>09/05/2023 11:46</t>
  </si>
  <si>
    <t>09/25/2023 17:04</t>
  </si>
  <si>
    <t>09/28/2023 16:46</t>
  </si>
  <si>
    <t>10/18/2023 12:56</t>
  </si>
  <si>
    <t>11/14/2023 15:41</t>
  </si>
  <si>
    <t>11/21/2023 13:45</t>
  </si>
  <si>
    <t>12/08/2023 14:20</t>
  </si>
  <si>
    <t>03/26/2024 16:10</t>
  </si>
  <si>
    <t>04/17/2024 16:40</t>
  </si>
  <si>
    <t>04/28/2024 02:10</t>
  </si>
  <si>
    <t>07/31/2024 18:20</t>
  </si>
  <si>
    <t>08/02/2024 12:37</t>
  </si>
  <si>
    <t>08/12/2024 10:54</t>
  </si>
  <si>
    <t>09/11/2024 13:30</t>
  </si>
  <si>
    <t>01/07/2025 18:00</t>
  </si>
  <si>
    <t>03/13/2025 16:20</t>
  </si>
  <si>
    <t>04/07/2025 16:01</t>
  </si>
  <si>
    <t>10/12/2025 12:52</t>
  </si>
  <si>
    <t>10/25/2025 19:22</t>
  </si>
  <si>
    <t>06/12/2026 07:49</t>
  </si>
  <si>
    <t>08/28/2026 17:14</t>
  </si>
  <si>
    <t>County Code</t>
  </si>
  <si>
    <t>Municipality Code</t>
  </si>
  <si>
    <t>Begin Date</t>
  </si>
  <si>
    <t>Y-Line Feet</t>
  </si>
  <si>
    <t>Road Name</t>
  </si>
  <si>
    <t>Road Code</t>
  </si>
  <si>
    <t>MOORE</t>
  </si>
  <si>
    <t>All and Rural</t>
  </si>
  <si>
    <t>12/1/2016</t>
  </si>
  <si>
    <t>8/31/2026</t>
  </si>
  <si>
    <t>SR 1905</t>
  </si>
  <si>
    <t>SR 1309</t>
  </si>
  <si>
    <t>SR 1205</t>
  </si>
  <si>
    <t>BEVERLY</t>
  </si>
  <si>
    <t>VOIT GILMORE</t>
  </si>
  <si>
    <t>MORGANTON</t>
  </si>
  <si>
    <t>KNOLL</t>
  </si>
  <si>
    <t>FELTON CAPEL</t>
  </si>
  <si>
    <t>US 15</t>
  </si>
  <si>
    <t>NC 2</t>
  </si>
  <si>
    <t>PINEHURST</t>
  </si>
  <si>
    <t>MONTICELLO</t>
  </si>
  <si>
    <t>BREAKPOINT</t>
  </si>
  <si>
    <t>NC 5</t>
  </si>
  <si>
    <t>PINETREE</t>
  </si>
  <si>
    <t>FOX HOLLOW</t>
  </si>
  <si>
    <t>DORAL</t>
  </si>
  <si>
    <t>TURNBERRY</t>
  </si>
  <si>
    <t xml:space="preserve">*LCL LAKE DORNOCH DR </t>
  </si>
  <si>
    <t>US 1</t>
  </si>
  <si>
    <t>FOREST HILL</t>
  </si>
  <si>
    <t>HAMPTON</t>
  </si>
  <si>
    <t xml:space="preserve">*LCL TALL TREES DR </t>
  </si>
  <si>
    <t>SULKY</t>
  </si>
  <si>
    <t xml:space="preserve">*LCL ACCESS CCNC </t>
  </si>
  <si>
    <t xml:space="preserve">*LCL FAZIO DR </t>
  </si>
  <si>
    <t xml:space="preserve">*LCL TURNBERRY WOOD </t>
  </si>
  <si>
    <t>WIMBLEDON</t>
  </si>
  <si>
    <t xml:space="preserve">*LCL NC HWY 211 </t>
  </si>
  <si>
    <t xml:space="preserve">*LCL CCNC DRIVE </t>
  </si>
  <si>
    <t>ROSS WOOD</t>
  </si>
  <si>
    <t xml:space="preserve">*LCL SURRY CIR N </t>
  </si>
  <si>
    <t xml:space="preserve">*LCL PVA(COUNTRY CLUB OF NC </t>
  </si>
  <si>
    <t xml:space="preserve">*LCL LAKE DORNOCH DRIVE </t>
  </si>
  <si>
    <t>SURRY</t>
  </si>
  <si>
    <t>DOGWOOD</t>
  </si>
  <si>
    <t xml:space="preserve">*LCL CCNC ENTRANCE </t>
  </si>
  <si>
    <t>MCKENZIE</t>
  </si>
  <si>
    <t xml:space="preserve">*LCL BANGOR LN </t>
  </si>
  <si>
    <t xml:space="preserve">*LCL SILKY LANE </t>
  </si>
  <si>
    <t>PVA 1600 MORGANTON RD</t>
  </si>
  <si>
    <t xml:space="preserve">*LCL CCNC </t>
  </si>
  <si>
    <t>SR 1800</t>
  </si>
  <si>
    <t>PVA FOX HOLLOW CT</t>
  </si>
  <si>
    <t>PVA FAZIO DR</t>
  </si>
  <si>
    <t xml:space="preserve">*LCL LAWN AND TENNIS </t>
  </si>
  <si>
    <t xml:space="preserve">*LCL FAZIO DRIVE </t>
  </si>
  <si>
    <t xml:space="preserve">*LCL LAKE DORNOCH RD </t>
  </si>
  <si>
    <t>RALEIGH</t>
  </si>
  <si>
    <t xml:space="preserve">*LCL SEMINOLE PL </t>
  </si>
  <si>
    <t>SAINT ANDREW</t>
  </si>
  <si>
    <t>CHEROKEE</t>
  </si>
  <si>
    <t xml:space="preserve">*LCL TURNBERRYWAY </t>
  </si>
  <si>
    <t>NC 211</t>
  </si>
  <si>
    <t>WIMBLETON</t>
  </si>
  <si>
    <t xml:space="preserve">*LCL NC-5 </t>
  </si>
  <si>
    <t xml:space="preserve">*LCL TURNBERRY WOODS </t>
  </si>
  <si>
    <t>SEVEN LAKES</t>
  </si>
  <si>
    <t>PATRICK</t>
  </si>
  <si>
    <t>TALMAGE</t>
  </si>
  <si>
    <t>TANGLEWOOD</t>
  </si>
  <si>
    <t>SOUTHERN PINES</t>
  </si>
  <si>
    <t>PVA PINECREST PLAZA</t>
  </si>
  <si>
    <t>BRUCEWOOD</t>
  </si>
  <si>
    <t>SR 1931</t>
  </si>
  <si>
    <t>ELK RIDGE</t>
  </si>
  <si>
    <t>MAY</t>
  </si>
  <si>
    <t xml:space="preserve">*LCL MEMORIAL PART CT </t>
  </si>
  <si>
    <t>PALMAR</t>
  </si>
  <si>
    <t>PLANTATION</t>
  </si>
  <si>
    <t>PVA 185 W MORGANTON RD</t>
  </si>
  <si>
    <t>PVA BANK OF AMERICA</t>
  </si>
  <si>
    <t>BENNET</t>
  </si>
  <si>
    <t>BROAD</t>
  </si>
  <si>
    <t>HALL</t>
  </si>
  <si>
    <t>OLD US1</t>
  </si>
  <si>
    <t>SR 2080</t>
  </si>
  <si>
    <t>OLD MORGANTON</t>
  </si>
  <si>
    <t>CAROLINA GREEN</t>
  </si>
  <si>
    <t>PATRIOT</t>
  </si>
  <si>
    <t>GATEWOOD</t>
  </si>
  <si>
    <t>MURRAY HILL</t>
  </si>
  <si>
    <t>PAVILION</t>
  </si>
  <si>
    <t xml:space="preserve">*LCL S CARLISE ST </t>
  </si>
  <si>
    <t>PVA 10205 US 15-501 HWY</t>
  </si>
  <si>
    <t>INVERRARY</t>
  </si>
  <si>
    <t>PVA PINECREST PLAZA PVA</t>
  </si>
  <si>
    <t>PVA 1000 FAZIO DR</t>
  </si>
  <si>
    <t>PVA PINECREST HIGH SCHOOL</t>
  </si>
  <si>
    <t xml:space="preserve">*LCL CHAMPIONS RIDGE </t>
  </si>
  <si>
    <t>MIDLAND</t>
  </si>
  <si>
    <t>PENNSLYVANIA</t>
  </si>
  <si>
    <t>MECHANIC</t>
  </si>
  <si>
    <t>MICHIGAN</t>
  </si>
  <si>
    <t>MEMORIAL PARK</t>
  </si>
  <si>
    <t>ILLINOIS</t>
  </si>
  <si>
    <t>HENLEY</t>
  </si>
  <si>
    <t>PVA 1216 W MORGANTON RD</t>
  </si>
  <si>
    <t>NATIONAL</t>
  </si>
  <si>
    <t xml:space="preserve">*LCL US 1 SOUTH OFF RAMP </t>
  </si>
  <si>
    <t>VHB_PEDBIKE</t>
  </si>
  <si>
    <t>VALLEY</t>
  </si>
  <si>
    <t>INDIANA</t>
  </si>
  <si>
    <t>SR 2105</t>
  </si>
  <si>
    <t>FIRE</t>
  </si>
  <si>
    <t>PVA 10205 US HWY 501</t>
  </si>
  <si>
    <t xml:space="preserve">*LCL US 1 S ON RAMP </t>
  </si>
  <si>
    <t>LEGEND</t>
  </si>
  <si>
    <t>PVA GOLDS GYM</t>
  </si>
  <si>
    <t>PVA MACS FOOD STORE</t>
  </si>
  <si>
    <t>PINECREST SCH</t>
  </si>
  <si>
    <t>WISCONSIN</t>
  </si>
  <si>
    <t>APPLECROSS</t>
  </si>
  <si>
    <t>US 1BUS</t>
  </si>
  <si>
    <t xml:space="preserve">*LCL SW BORAD ST </t>
  </si>
  <si>
    <t>US 15BUS</t>
  </si>
  <si>
    <t xml:space="preserve">*LCL BEVERLEY LN </t>
  </si>
  <si>
    <t>HSRC_PED</t>
  </si>
  <si>
    <t>PVA 1065 FELTON CAPE LN</t>
  </si>
  <si>
    <t xml:space="preserve">*LCL US OLD US 1 </t>
  </si>
  <si>
    <t>US 501</t>
  </si>
  <si>
    <t>PVA US 15</t>
  </si>
  <si>
    <t>PVA US 15-501 HWY</t>
  </si>
  <si>
    <t>BELL</t>
  </si>
  <si>
    <t>PVA US HWY 15-501</t>
  </si>
  <si>
    <t xml:space="preserve">*UNK PINEHURST NC </t>
  </si>
  <si>
    <t>HUNTER</t>
  </si>
  <si>
    <t>PADDOCK</t>
  </si>
  <si>
    <t xml:space="preserve">*LCL S MECHANIC STREET </t>
  </si>
  <si>
    <t xml:space="preserve">*LCL TALAMAGE WAY </t>
  </si>
  <si>
    <t>RIDING</t>
  </si>
  <si>
    <t>SR 2036</t>
  </si>
  <si>
    <t>ROTHNEY</t>
  </si>
  <si>
    <t>PVA DAIRY QUEEN</t>
  </si>
  <si>
    <t xml:space="preserve">*LCL S HENELY ST </t>
  </si>
  <si>
    <t xml:space="preserve">*LCL SW BRAOD ST </t>
  </si>
  <si>
    <t>STREET UNK-SEE RPT</t>
  </si>
  <si>
    <t>RIDGE</t>
  </si>
  <si>
    <t xml:space="preserve">*LCL ELK RIDGE LN </t>
  </si>
  <si>
    <t>COUNTRY CLUB</t>
  </si>
  <si>
    <t>MORGAN</t>
  </si>
  <si>
    <t xml:space="preserve">*LCL LENGENDS DR </t>
  </si>
  <si>
    <t>ARBORETUM</t>
  </si>
  <si>
    <t xml:space="preserve">*LCL US 15-501 B </t>
  </si>
  <si>
    <t>WINDSONG</t>
  </si>
  <si>
    <t xml:space="preserve">*LCL OLD US 1 NORTH </t>
  </si>
  <si>
    <t xml:space="preserve">*LCL US 15 501 A </t>
  </si>
  <si>
    <t>PVA MICHAELS</t>
  </si>
  <si>
    <t>PVA TURNBERRY WOODS</t>
  </si>
  <si>
    <t xml:space="preserve">*LCL SR S KNOLL RD </t>
  </si>
  <si>
    <t>PINEHURST MANOR</t>
  </si>
  <si>
    <t>PVA US 15 501</t>
  </si>
  <si>
    <t>PVA 120 W MORGANTON RD</t>
  </si>
  <si>
    <t xml:space="preserve">*LCL MEHANIC ST </t>
  </si>
  <si>
    <t>PVA 10205</t>
  </si>
  <si>
    <t>PVA 155 BEVERLY LN</t>
  </si>
  <si>
    <t xml:space="preserve">*LCL TURNEBERRY WAY </t>
  </si>
  <si>
    <t>PVA US 15-501</t>
  </si>
  <si>
    <t>ML-PINEHURST</t>
  </si>
  <si>
    <t>MEMORIAL</t>
  </si>
  <si>
    <t xml:space="preserve">*LCL E ILLINOIS </t>
  </si>
  <si>
    <t>PVA 1065 FELTON CAPEL LN</t>
  </si>
  <si>
    <t xml:space="preserve">*LCL FELTON CAPEL N </t>
  </si>
  <si>
    <t>STEEPLE CHASE</t>
  </si>
  <si>
    <t>PVA 250 VOIT GILMORE LN</t>
  </si>
  <si>
    <t xml:space="preserve">*LCL FELTON CAPELL LN </t>
  </si>
  <si>
    <t xml:space="preserve">*LCL BRADFORD VILLAGE CT </t>
  </si>
  <si>
    <t>WEYMOUTH</t>
  </si>
  <si>
    <t>FOOD LION</t>
  </si>
  <si>
    <t xml:space="preserve">*LCL VOIT GILMORE AVE </t>
  </si>
  <si>
    <t xml:space="preserve">*LCL 1740 OLD MORGANTON RD </t>
  </si>
  <si>
    <t>BELMONT</t>
  </si>
  <si>
    <t>AIRPORT</t>
  </si>
  <si>
    <t xml:space="preserve">*LCL E ILLIONOIS AVE </t>
  </si>
  <si>
    <t xml:space="preserve">*LCL INVERRAY RD </t>
  </si>
  <si>
    <t>CARLISLE</t>
  </si>
  <si>
    <t>PVA 200 W MORGANTON RD</t>
  </si>
  <si>
    <t xml:space="preserve">*LCL S BENNETT ST2 </t>
  </si>
  <si>
    <t xml:space="preserve">*LCL OLD U S 1 </t>
  </si>
  <si>
    <t>PVA ELK RIDGE LN</t>
  </si>
  <si>
    <t xml:space="preserve">*LCL FELTON CAPLE </t>
  </si>
  <si>
    <t xml:space="preserve">*LCL BRUCEWOORD RD </t>
  </si>
  <si>
    <t xml:space="preserve">*LCL S BENETT ST </t>
  </si>
  <si>
    <t>PVA LOWES FOODS</t>
  </si>
  <si>
    <t xml:space="preserve">*LCL TURNBERRY WODD </t>
  </si>
  <si>
    <t xml:space="preserve">*LCL W MORGANTONTON RD </t>
  </si>
  <si>
    <t xml:space="preserve">*LCL 1328 W MORGANTON RD </t>
  </si>
  <si>
    <t>STARLAND</t>
  </si>
  <si>
    <t xml:space="preserve">*LCL SOUTH HENLEY STREET </t>
  </si>
  <si>
    <t>PVA 795 SW BROAD ST</t>
  </si>
  <si>
    <t>PVA 105 W MORGANTON RD</t>
  </si>
  <si>
    <t>SR 1912</t>
  </si>
  <si>
    <t>TALL TIMBER</t>
  </si>
  <si>
    <t>SR 1843</t>
  </si>
  <si>
    <t>CARDINAL</t>
  </si>
  <si>
    <t xml:space="preserve">*LCL NORTH KNOLL ROAD </t>
  </si>
  <si>
    <t>PEE DEE</t>
  </si>
  <si>
    <t xml:space="preserve">*LCL S HENDLEY ST </t>
  </si>
  <si>
    <t>PVA NATIONAL GUARD ARMORY</t>
  </si>
  <si>
    <t xml:space="preserve">*LCL BURCEWOOD RD </t>
  </si>
  <si>
    <t>PVA 275 W MORGANTON RD</t>
  </si>
  <si>
    <t xml:space="preserve">*LCL PTRICK ROAD </t>
  </si>
  <si>
    <t>HIGHLAND</t>
  </si>
  <si>
    <t>SR 1204</t>
  </si>
  <si>
    <t xml:space="preserve">*LCL CHAMPIONS RIDGE DR </t>
  </si>
  <si>
    <t>CHESTERFIELD</t>
  </si>
  <si>
    <t xml:space="preserve">*LCL FOXHOLLOW COURT </t>
  </si>
  <si>
    <t>PVA THE FRESH MARKET</t>
  </si>
  <si>
    <t>PVA FRESH MARKET</t>
  </si>
  <si>
    <t>PVA 1065 FELTON CAPEL RD</t>
  </si>
  <si>
    <t xml:space="preserve">*LCL MEMORIAL PARK WAY </t>
  </si>
  <si>
    <t>PVA 205 W MORGANTON RD</t>
  </si>
  <si>
    <t>PVA 1768 OLD MORGANTON ROA</t>
  </si>
  <si>
    <t>PVA LOWES FOODS PVA</t>
  </si>
  <si>
    <t xml:space="preserve">*LCL S MAY STREET </t>
  </si>
  <si>
    <t xml:space="preserve">*LCL E ILLINOIS AVENUE </t>
  </si>
  <si>
    <t xml:space="preserve">*LCL TALMEDGE WAY </t>
  </si>
  <si>
    <t>VINTAGE</t>
  </si>
  <si>
    <t xml:space="preserve">*LCL VOID GILMORE LN </t>
  </si>
  <si>
    <t xml:space="preserve">*LCL CARLINA GREEN PARKWAY </t>
  </si>
  <si>
    <t>PVA 214 W MORGANTON RD</t>
  </si>
  <si>
    <t>PVA 1740 OLD MORGANTON RD</t>
  </si>
  <si>
    <t xml:space="preserve">*LCL FELTON CHAPEL RD </t>
  </si>
  <si>
    <t xml:space="preserve">*PP 300 E MORGANTON RD </t>
  </si>
  <si>
    <t>PVA 1-205 US 15-501 HWY</t>
  </si>
  <si>
    <t>UNIVERSAL</t>
  </si>
  <si>
    <t>PVA 250 VOIT GILMORE LN PV</t>
  </si>
  <si>
    <t xml:space="preserve">*LCL US 1 HWY N </t>
  </si>
  <si>
    <t>PVA 1212 W MORGANTON RD</t>
  </si>
  <si>
    <t xml:space="preserve">*LCL MEMORIAL PRK CT </t>
  </si>
  <si>
    <t xml:space="preserve">*LCL BEVERLYN LN </t>
  </si>
  <si>
    <t>PATRICIAN</t>
  </si>
  <si>
    <t xml:space="preserve">*LCL FELTON CABLE LN </t>
  </si>
  <si>
    <t xml:space="preserve">*LCL OLD US 1 HWY 1 </t>
  </si>
  <si>
    <t>PVA 155 BEVERLY LN (THE FR</t>
  </si>
  <si>
    <t>SHAW</t>
  </si>
  <si>
    <t xml:space="preserve">*LCL S MAY </t>
  </si>
  <si>
    <t>PVA LOWES FOOD</t>
  </si>
  <si>
    <t>PVA 1 PINECREST PLAZA</t>
  </si>
  <si>
    <t>PVA BEVERLY LN</t>
  </si>
  <si>
    <t xml:space="preserve">*LCL S MECHANIC </t>
  </si>
  <si>
    <t>FLYNN</t>
  </si>
  <si>
    <t>PVA 1216 MORGANTON RD</t>
  </si>
  <si>
    <t>PVA 43 PINECREST PLAZA</t>
  </si>
  <si>
    <t>Crash Notes</t>
  </si>
  <si>
    <t>LCL Felton Capel Ln at SR W Morganton Rd toward LCL Beverley Ln (0 ft)</t>
  </si>
  <si>
    <t>Ped SB RT x EB</t>
  </si>
  <si>
    <t>Report reviewed (ADD): SB V1 stopped on red on Felton Capel, looked only left, turned right on red and struck a pedestrian in a motorized wheelchair in the north-leg crosswalk. At 0 ft; diagram shows impact in the north-leg crosswalk during RTOR at the study signal.</t>
  </si>
  <si>
    <t>NIS-R</t>
  </si>
  <si>
    <t>SR 1205, 445 ft E of US 15 toward Beverly Ln</t>
  </si>
  <si>
    <t>Other EB x Animal</t>
  </si>
  <si>
    <t>Report reviewed (NIS-R): EB V1 struck a deer and then pulled into the Fresh Market parking area. Animal crash ~670 ft W; GPS point likely taken where V1 stopped in the Fresh Market lot.</t>
  </si>
  <si>
    <t>W MORGANTON RD, 250 ft E of US 15 toward BEVERLY LN</t>
  </si>
  <si>
    <t>LTDR SB LT x WB</t>
  </si>
  <si>
    <t>Report reviewed (NIS-R): V1 turned left out of Pinecrest Plaza into path of WB V2. Pinecrest Plaza entrance driveway 250 ft E of US 15, ~860 ft W of study intersection.</t>
  </si>
  <si>
    <t>W MORGANTON RD, 0.090 mi W of FELTON CAPEL DR toward US 15</t>
  </si>
  <si>
    <t>LTDR SB LT x EB</t>
  </si>
  <si>
    <t>Report reviewed (NIS-R): V1 turned left out of Pinecrest Plaza entrance through a gap in queued EB traffic and struck EB V2 (45 mph). Diagram labels side road PINECREST PLAZA ENTRANCE, a stop-controlled driveway ~475 ft W; not a study leg.</t>
  </si>
  <si>
    <t>W MORGANTON RD, 450 ft W of FELTON CAPEL LN toward US 15</t>
  </si>
  <si>
    <t>RE WB x WB</t>
  </si>
  <si>
    <t>Report reviewed (NIS-R): WB commercial truck rear-ended V2 stopped in the queue for US 15-501. 450 ft W in the US 15-501 WB queue; departure side of study intersection.</t>
  </si>
  <si>
    <t>W MORGANTON RD, 400 ft W of BEVERLY LN toward US 15</t>
  </si>
  <si>
    <t>Report reviewed (NIS-R): WB V1 moved on green and rear-ended V2 at the US 15-501 signal. Diagram shows the US 15-501 intersection; 400 ft W of study intersection.</t>
  </si>
  <si>
    <t>W MORGANTON ROAD, 400 ft W of FELTON CAPEL LN toward US 15</t>
  </si>
  <si>
    <t>Report reviewed (NIS-R): V1 merging into left turn lane rear-ended V2 stopped WB in traffic, just W of a PVA driveway. 400 ft W on WB departure side; queue for downstream US 15-501, not study signal.</t>
  </si>
  <si>
    <t>W MORGANTON RD, 0.138 mi E of US 15 toward FELTON CAPEL LN</t>
  </si>
  <si>
    <t>SSSD EB x EB</t>
  </si>
  <si>
    <t>Report reviewed (NIS-R): EB U1 in inside through lane and EB U2 entering the left-turn lane sideswiped (25/30 mph). ~385 ft W, moving traffic at the EB left-turn bay taper, not queue related.</t>
  </si>
  <si>
    <t>LCL W MORGANTON RD, 276 ft W of LCL BEVERLY LN toward US 501</t>
  </si>
  <si>
    <t>Other ROR WB LT</t>
  </si>
  <si>
    <t>Report reviewed (NIS-R): Single WB vehicle turned left, ran off road and struck a small tree; DWI (BAC .21). Single-vehicle DWI ROR 276 ft W on departure side; beyond 150 ft and unrelated to signal.</t>
  </si>
  <si>
    <t>W MORGANTON RD, 0.050 mi W of FELTON CAPEL toward US 15</t>
  </si>
  <si>
    <t>Other ROR WB x WB RT</t>
  </si>
  <si>
    <t>Report reviewed (NIS-R): WB V1 driver had a medical emergency, struck V2 turning right into Pinecrest Plaza, then V3 at the plaza entrance; driver 1 deceased. At Pinecrest Plaza entrance 264 ft W (road feature public driveway, stop sign); medical cause; departure side. Pages 49-52 are a supplemental report with no substantive changes.</t>
  </si>
  <si>
    <t>W MORGANTON RD, 200 ft W of FELTON CAPEL LN toward US 15</t>
  </si>
  <si>
    <t>Report reviewed (NIS-R): EB stop-and-go traffic; V1 failed to reduce speed, swerved left and sideswiped V2's rear quarter; hit and run. Borderline: ~200 ft W (beyond 150-ft study area); EB stop-and-go sideswipe, officer does not mention the signal. Reviewer suggested ADD; excluded to keep 150-ft criterion. 200 ft upstream on EB approach in stop-and-go traffic, likely study signal queue; officer does not mention signal; traffic control coded none.</t>
  </si>
  <si>
    <t>Angle WB x WB</t>
  </si>
  <si>
    <t>WBLC</t>
  </si>
  <si>
    <t>WBT</t>
  </si>
  <si>
    <t>RORL EB</t>
  </si>
  <si>
    <t>EBL</t>
  </si>
  <si>
    <t>WBS</t>
  </si>
  <si>
    <t>Angle SB x WB</t>
  </si>
  <si>
    <t>RE EB x EB</t>
  </si>
  <si>
    <t>EBS</t>
  </si>
  <si>
    <t>LTDR EB LT x EB</t>
  </si>
  <si>
    <t>EBLC</t>
  </si>
  <si>
    <t>WBR</t>
  </si>
  <si>
    <t>LTSR WB LT x WB</t>
  </si>
  <si>
    <t>Angle SB x EB</t>
  </si>
  <si>
    <t>Angle EB x NB</t>
  </si>
  <si>
    <t>Angle WB x NB</t>
  </si>
  <si>
    <t>Angle EB x SB</t>
  </si>
  <si>
    <t>EBP</t>
  </si>
  <si>
    <t>LTSR SB LT x NB</t>
  </si>
  <si>
    <t>Recoded from Angle: TEAAS maneuvers show SB left turn vs opposing NB through</t>
  </si>
  <si>
    <t>LTSR NB LT x WB</t>
  </si>
  <si>
    <t>NBL</t>
  </si>
  <si>
    <t>LTSR SB LT x EB</t>
  </si>
  <si>
    <t>LTDR NB LT x WB</t>
  </si>
  <si>
    <t>RTSR NB RT x WB</t>
  </si>
  <si>
    <t>Angle EB x WB</t>
  </si>
  <si>
    <t>Angle WB x SB</t>
  </si>
  <si>
    <t>SBR</t>
  </si>
  <si>
    <t>LTSR EB LT x WB</t>
  </si>
  <si>
    <t>Recoded from Angle: TEAAS maneuvers show EB left turn vs opposing WB through</t>
  </si>
  <si>
    <t>LCL MORGANTON RD at PVA PINECREST PLAZA toward LCL BEVERLY LN</t>
  </si>
  <si>
    <t>Angle SB LT x WB</t>
  </si>
  <si>
    <t>Report reviewed (NIS-R): V1 leaving Pinecrest Plaza failed to yield turning left and struck WB V2. Stop-controlled plaza driveway T with no south leg; driveway exit movement.</t>
  </si>
  <si>
    <t>W MORGANTON RD at PVA PINECREST PLAZA toward BRUCEWOOD RD</t>
  </si>
  <si>
    <t>Report reviewed (NIS-R): V1 turned left out of Pinecrest Plaza and collided with EB V2. Stop-controlled plaza driveway T, not the study intersection.</t>
  </si>
  <si>
    <t>MORGANTON RD at PVA PINECREST PLAZA toward FELTON CAPEL</t>
  </si>
  <si>
    <t>RTSR SB RT x SB</t>
  </si>
  <si>
    <t>Report reviewed (NIS-R): Tractor-trailer turned right from plaza exit left-turn lane and struck V2 stopped in the right-turn exit lane. Pinecrest Plaza entrance driveway ~860 ft W; driveway movements only.</t>
  </si>
  <si>
    <t>LCL W MORGANTON RD at PVA PINECREST PLAZA toward US 15</t>
  </si>
  <si>
    <t>Report reviewed (NIS-R): EB U1 turned left into the Pinecrest Plaza entrance before safe and was struck by WB U2. Left turn into a driveway T with no south leg or signal; not a study-intersection movement.</t>
  </si>
  <si>
    <t>W MORGANTON RD at PVA PINECREST PLAZA toward US 15</t>
  </si>
  <si>
    <t>Report reviewed (NIS-R): V1 pulled out of Pinecrest Plaza to turn left before safe and struck WB V2. Stop-controlled 3-leg T plaza driveway, not the signalized study intersection.</t>
  </si>
  <si>
    <t>SR MORGANTON RD at PVA PINECREST PLAZA toward US 15-501</t>
  </si>
  <si>
    <t>Report reviewed (NIS-R): V1 pulling out of Pinecrest Plaza to go east failed to yield to WB V2. Separate unsignalized plaza driveway; driveway exit movement.</t>
  </si>
  <si>
    <t>Angle SB RT x WB</t>
  </si>
  <si>
    <t>Report reviewed (NIS-R): D1 turned right out of Pinecrest Plaza too wide into the inside WB lane and was struck by WB V2. Unsignalized plaza driveway right-out; referenced W toward US 15.</t>
  </si>
  <si>
    <t>W MORGANTON RD at PVA PINECREST PLAZA</t>
  </si>
  <si>
    <t>SSSD WB RT x WB</t>
  </si>
  <si>
    <t>Report reviewed (NIS-R): WB V1 in inner lane made improper right turn into plaza entrance and sideswiped V2 in curb lane. At Pinecrest Plaza entrance ~850 ft W.</t>
  </si>
  <si>
    <t>LCL W MORGANTON RD at PVA PINECREST PLAZA</t>
  </si>
  <si>
    <t>Report reviewed (NIS-R): V1 turned left out of Pinecrest Plaza in front of WB V2. Mid-block stop-controlled plaza driveway; not the study intersection.</t>
  </si>
  <si>
    <t>PVA PINECREST PLAZA 0 ft N of W MORGANTON RD toward FELTON CAPEL LN</t>
  </si>
  <si>
    <t>Other NB RT x NB</t>
  </si>
  <si>
    <t>Report reviewed (NIS-R): V1 struck a parked vehicle while turning into a parking space in front of Food Lion. Parking-lot crash.</t>
  </si>
  <si>
    <t>PVA PINECREST PLAZA at W MORGANTON RD</t>
  </si>
  <si>
    <t>RE SB x SB</t>
  </si>
  <si>
    <t>Report reviewed (NIS-R): V1 rear-ended V2 stopped at plaza exit stop sign. On plaza driveway at its stop sign, not the study signal.</t>
  </si>
  <si>
    <t>RORR EB</t>
  </si>
  <si>
    <t>Other FixedObject EB</t>
  </si>
  <si>
    <t>SSSD WB x WB</t>
  </si>
  <si>
    <t>LCL W MORGANTON RD, 200 ft from LCL BEVERLY LN toward LCL TANGLEWOOD DR</t>
  </si>
  <si>
    <t>Report reviewed (NIS-R): V1 and V2 WB on W Morganton; V1 changed lanes to merge into the far-left turn lane and was struck in the left rear by V2 (15/10 mph). Borderline: ~200 ft E (beyond 150-ft study area); lane change into the WB left-turn bay. Reviewer suggested ADD; excluded to keep 150-ft criterion. ~200 ft E on the WB approach; V1 was merging into the study signal's WB left-turn bay at queue speeds. Officer coded Angle; narrative/diagram show lane-change sideswipe.</t>
  </si>
  <si>
    <t>W MORGANTON RD, 255 ft E of FELTON CAPEL LN toward TANGLEWOOD DR</t>
  </si>
  <si>
    <t>Report reviewed (NIS-R): EB vehicles sideswiped while passing (~45 mph); V1 at fault. 255 ft E on EB departure side; passing maneuver, not signal related.</t>
  </si>
  <si>
    <t>W MORGANTON RD, 417 ft W of TANGLEWOOD DR toward FELTON CAPEL LN</t>
  </si>
  <si>
    <t>Report reviewed (NIS-R): Hit-and-run: V1 merged into WB V2 lane and sideswiped it (~30 mph). ~264 ft E; mid-block lane change at 30 mph, no queue/signal involvement.</t>
  </si>
  <si>
    <t>W MORGANTON RD, 300 ft W of TANGLEWOOD DR toward FELTON CAPEL LN</t>
  </si>
  <si>
    <t>Other (Animal) WB</t>
  </si>
  <si>
    <t>Report reviewed (NIS-R): WB V1 struck a deer. ~380 ft E single-vehicle animal crash; unrelated to signal.</t>
  </si>
  <si>
    <t>Report reviewed (NIS-R): V1 van merged into outside lane and sideswiped WB V2 (~40 mph). ~380 ft E; free-flow lane change, not queue or turn bay related.</t>
  </si>
  <si>
    <t>SR 1309, 0.30 mi E of US 15 toward NC 5</t>
  </si>
  <si>
    <t>Report reviewed (NIS-R): EB V1 rear-ended V2 slowing for traffic. ~470 ft E on EB departure side; no intersection in diagram.</t>
  </si>
  <si>
    <t>W MORGANTON RD, 200 ft W of TANGLEWOOD DR toward FELTON CAPEL LN</t>
  </si>
  <si>
    <t>Report reviewed (ADD): WB V1 failed to reduce speed and rear-ended V2 stopped at the Felton Capel signal waiting for green. Narrative and diagram place V2 first in the WB through lane at the study signal; road feature 4-way intersection, traffic control signal.</t>
  </si>
  <si>
    <t>FELTON CAPLE LN, 340 ft S of PATRICK RD toward W MORGANTON RD</t>
  </si>
  <si>
    <t>LTDR WB LT x SB LT</t>
  </si>
  <si>
    <t>Report reviewed (NIS-R): V1 turned left out of Macs Food Store PVA and struck SB V2 turning left into the PVA. Driveway crash at Macs Food Store ~333 ft N; unrelated to signal.</t>
  </si>
  <si>
    <t>FELTON CAPEL RD, 362 ft S of PATRICK RD toward MORGANTON RD</t>
  </si>
  <si>
    <t>LTDR WB LT x SB</t>
  </si>
  <si>
    <t>Report reviewed (NIS-R): V1 pulled out of the Wedgies PVA driveway and failed to yield to SB V2 in the left-turn lane. Driveway crash ~306 ft N; stop-controlled driveway, not signal related.</t>
  </si>
  <si>
    <t>Angle SB x SB</t>
  </si>
  <si>
    <t>RTDR NB RT x SB</t>
  </si>
  <si>
    <t>NBR</t>
  </si>
  <si>
    <t>HeadOn NB x SB</t>
  </si>
  <si>
    <t>SBS</t>
  </si>
  <si>
    <t>Recoded from HeadOn: TEAAS maneuvers show SB left turn vs opposing NB through</t>
  </si>
  <si>
    <t>1328 W Morganton Rd, 0.010 mi W of Felton Capel Ln toward US 15</t>
  </si>
  <si>
    <t>LTSR SB LT x WB</t>
  </si>
  <si>
    <t>Report reviewed (NIS-R): V1 pulled out of the Pinecrest Plaza entrance turning left to go EB and struck WB V2; V1 cited for failure to yield. Diagram shows only the stop-controlled Pinecrest Plaza Entrance T (no south leg, traffic control stop sign); not a study-intersection movement. Text distance (0.010 mi) conflicts with the diagram.</t>
  </si>
  <si>
    <t>Felton Capel Ln at W Morgantonton Rd [sic] toward US 15 (0 ft)</t>
  </si>
  <si>
    <t>Angle WB x SB LT</t>
  </si>
  <si>
    <t>Report reviewed (ADD): WB V1 ran the red (per witnesses), drifted/turned right and struck V2 stopped SB on Felton Capel waiting to turn left. At the study signal; road feature 4-way intersection, signal operating.</t>
  </si>
  <si>
    <t>Felton Capel Ln at PVA 1216 W Morganton Rd toward Patrick Rd</t>
  </si>
  <si>
    <t>LTDR WB LT x NB</t>
  </si>
  <si>
    <t>Report reviewed (NIS-R): V1 exited the Mac's Food Store driveway turning left and struck NB V2 on Felton Capel. Driveway crash at the Mac's Food Store driveway on Felton Capel, which 107049763 places ~330 ft N of the intersection; stop-controlled driveway, no distance given.</t>
  </si>
  <si>
    <t>LCL W Morganton Rd, 20 ft W of LCL Felton Capel Ln toward US 15</t>
  </si>
  <si>
    <t>RE WB x WB RT</t>
  </si>
  <si>
    <t>Report reviewed (NIS-R): WB V2 turning right onto US 15-501 was rear-ended by V1 (hit and run). Diagram and narrative place it at the US 15-501 intersection; location text is a mislocation.</t>
  </si>
  <si>
    <t>CRASHES IN STUDY</t>
  </si>
  <si>
    <t>Before period (12/01/2016 to 08/31/2021)</t>
  </si>
  <si>
    <t>Construction period (09/01/2021 to 11/30/2021)</t>
  </si>
  <si>
    <t>After period (12/01/2021 to 08/31/2026)</t>
  </si>
  <si>
    <t>DELETED CRASHES</t>
  </si>
  <si>
    <t>NOT IN STUDY - REVIEWED</t>
  </si>
  <si>
    <t>NOT IN STUDY - DID NOT REVIEW CRASH REPORTS</t>
  </si>
  <si>
    <t>Frontal impact crashes (total)</t>
  </si>
  <si>
    <t>Angle crashes</t>
  </si>
  <si>
    <t>LTDR crashes</t>
  </si>
  <si>
    <t>Wet crashes</t>
  </si>
  <si>
    <t>\\vhb.com\gbl\Client\039990.004\05_Work\NCDOTProjNum\Traffic Safety\Assignments\WO-41000076578 SS 08-17-5149 (SS-4908BK)\Crash Analysis</t>
  </si>
  <si>
    <t>Dairy Queen</t>
  </si>
  <si>
    <t>PineCrest Plaza</t>
  </si>
  <si>
    <t>No intersection</t>
  </si>
  <si>
    <t>Tanglewood</t>
  </si>
  <si>
    <t>Brucewood</t>
  </si>
  <si>
    <t>Plantation</t>
  </si>
  <si>
    <t>driveway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</si>
</sst>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2" formatCode="_(&quot;$&quot;* #,##0_);_(&quot;$&quot;* \(#,##0\);_(&quot;$&quot;* &quot;-&quot;_);_(@_)"/>
    <numFmt numFmtId="44" formatCode="_(&quot;$&quot;* #,##0.00_);_(&quot;$&quot;* \(#,##0.00\);_(&quot;$&quot;* &quot;-&quot;??_);_(@_)"/>
    <numFmt numFmtId="43" formatCode="_(* #,##0.00_);_(* \(#,##0.00\);_(* &quot;-&quot;??_);_(@_)"/>
    <numFmt numFmtId="164" formatCode="m/d/yyyy;@"/>
    <numFmt numFmtId="165" formatCode="&quot;$&quot;#,##0"/>
    <numFmt numFmtId="166" formatCode="&quot;$&quot;#,##0.00"/>
    <numFmt numFmtId="167" formatCode="_(&quot;$&quot;* #,##0_);_(&quot;$&quot;* \(#,##0\);_(&quot;$&quot;* &quot;-&quot;??_);_(@_)"/>
  </numFmts>
  <fonts count="7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color rgb="FFFF0000"/>
      <name val="Calibri"/>
      <family val="2"/>
      <scheme val="minor"/>
    </font>
    <font>
      <i/>
      <sz val="11"/>
      <color theme="1"/>
      <name val="Calibri"/>
      <family val="2"/>
      <scheme val="minor"/>
    </font>
    <font>
      <b/>
      <i/>
      <u/>
      <sz val="11"/>
      <color theme="1"/>
      <name val="Calibri"/>
      <family val="2"/>
      <scheme val="minor"/>
    </font>
    <font>
      <sz val="8"/>
      <color theme="1"/>
      <name val="Calibri"/>
      <family val="2"/>
    </font>
    <font>
      <b/>
      <sz val="11"/>
      <name val="Calibri"/>
      <family val="2"/>
      <scheme val="minor"/>
    </font>
    <font>
      <sz val="24"/>
      <color theme="1"/>
      <name val="Calibri"/>
      <family val="2"/>
      <scheme val="minor"/>
    </font>
    <font>
      <b/>
      <sz val="11"/>
      <color rgb="FF0070C0"/>
      <name val="Calibri"/>
      <family val="2"/>
      <scheme val="minor"/>
    </font>
    <font>
      <b/>
      <sz val="11"/>
      <color theme="4"/>
      <name val="Calibri"/>
      <family val="2"/>
      <scheme val="minor"/>
    </font>
    <font>
      <b/>
      <sz val="14"/>
      <color theme="1"/>
      <name val="Calibri"/>
      <family val="2"/>
      <scheme val="minor"/>
    </font>
    <font>
      <sz val="18"/>
      <color theme="1"/>
      <name val="Calibri"/>
      <family val="2"/>
      <scheme val="minor"/>
    </font>
    <font>
      <b/>
      <sz val="20"/>
      <color theme="1"/>
      <name val="Calibri"/>
      <family val="2"/>
      <scheme val="minor"/>
    </font>
    <font>
      <b/>
      <sz val="12"/>
      <color theme="1"/>
      <name val="Times New Roman"/>
      <family val="1"/>
    </font>
    <font>
      <sz val="11"/>
      <color theme="1"/>
      <name val="Times New Roman"/>
      <family val="1"/>
    </font>
    <font>
      <sz val="11"/>
      <color rgb="FF000000"/>
      <name val="Times New Roman"/>
      <family val="1"/>
    </font>
    <font>
      <sz val="11"/>
      <name val="Times New Roman"/>
      <family val="1"/>
    </font>
    <font>
      <b/>
      <u/>
      <sz val="11"/>
      <color rgb="FF000000"/>
      <name val="Times New Roman"/>
      <family val="1"/>
    </font>
    <font>
      <b/>
      <sz val="11"/>
      <color rgb="FF000000"/>
      <name val="Times New Roman"/>
      <family val="1"/>
    </font>
    <font>
      <sz val="14"/>
      <color theme="1"/>
      <name val="Calibri"/>
      <family val="2"/>
      <scheme val="minor"/>
    </font>
    <font>
      <b/>
      <sz val="14"/>
      <color rgb="FFFF0000"/>
      <name val="Calibri"/>
      <family val="2"/>
      <scheme val="minor"/>
    </font>
    <font>
      <b/>
      <sz val="14"/>
      <color rgb="FF0070C0"/>
      <name val="Calibri"/>
      <family val="2"/>
      <scheme val="minor"/>
    </font>
    <font>
      <sz val="16"/>
      <color theme="1"/>
      <name val="Calibri"/>
      <family val="2"/>
      <scheme val="minor"/>
    </font>
    <font>
      <b/>
      <u/>
      <sz val="16"/>
      <color rgb="FFFF0000"/>
      <name val="Calibri"/>
      <family val="2"/>
      <scheme val="minor"/>
    </font>
    <font>
      <b/>
      <sz val="11"/>
      <color rgb="FF0000FF"/>
      <name val="Aptos Narrow"/>
      <family val="2"/>
    </font>
    <font>
      <b/>
      <sz val="18"/>
      <color theme="1"/>
      <name val="Calibri"/>
      <family val="2"/>
      <scheme val="minor"/>
    </font>
    <font>
      <b/>
      <sz val="12"/>
      <color theme="9" tint="-0.249977111117893"/>
      <name val="Calibri"/>
      <family val="2"/>
      <scheme val="minor"/>
    </font>
    <font>
      <sz val="8"/>
      <name val="Calibri"/>
      <family val="2"/>
      <scheme val="minor"/>
    </font>
    <font>
      <b/>
      <sz val="24"/>
      <color theme="1"/>
      <name val="Calibri"/>
      <family val="2"/>
      <scheme val="minor"/>
    </font>
    <font>
      <sz val="11"/>
      <color rgb="FF000000"/>
      <name val="Calibri"/>
      <family val="2"/>
      <scheme val="minor"/>
    </font>
    <font>
      <b/>
      <sz val="11"/>
      <color rgb="FF00B050"/>
      <name val="Calibri"/>
      <family val="2"/>
      <scheme val="minor"/>
    </font>
    <font>
      <sz val="10"/>
      <color theme="1"/>
      <name val="Calibri"/>
      <family val="2"/>
      <scheme val="minor"/>
    </font>
    <font>
      <sz val="8"/>
      <color theme="1"/>
      <name val="Calibri"/>
      <family val="2"/>
      <scheme val="minor"/>
    </font>
    <font>
      <b/>
      <sz val="11"/>
      <color rgb="FF0070C0"/>
      <name val="Times New Roman"/>
      <family val="1"/>
    </font>
    <font>
      <sz val="12"/>
      <color rgb="FF000000"/>
      <name val="Times New Roman"/>
      <family val="1"/>
    </font>
    <font>
      <sz val="11"/>
      <color rgb="FF000000"/>
      <name val="Calibri"/>
      <family val="2"/>
    </font>
    <font>
      <b/>
      <u/>
      <sz val="11"/>
      <color theme="1"/>
      <name val="Calibri"/>
      <family val="2"/>
      <scheme val="minor"/>
    </font>
    <font>
      <u/>
      <sz val="11"/>
      <color theme="10"/>
      <name val="Calibri"/>
      <family val="2"/>
      <scheme val="minor"/>
    </font>
    <font>
      <sz val="11"/>
      <color theme="1"/>
      <name val="Calibri"/>
      <family val="2"/>
    </font>
    <font>
      <sz val="11"/>
      <color theme="1"/>
      <name val="Calibri"/>
      <family val="2"/>
      <charset val="1"/>
    </font>
    <font>
      <b/>
      <sz val="8"/>
      <color theme="9" tint="-0.249977111117893"/>
      <name val="Arial"/>
      <family val="2"/>
    </font>
    <font>
      <b/>
      <sz val="8"/>
      <name val="Arial"/>
      <family val="2"/>
    </font>
    <font>
      <b/>
      <sz val="8"/>
      <color indexed="8"/>
      <name val="Arial"/>
      <family val="2"/>
    </font>
    <font>
      <sz val="8"/>
      <name val="Arial"/>
      <family val="2"/>
    </font>
    <font>
      <sz val="8"/>
      <color theme="9" tint="-0.249977111117893"/>
      <name val="Arial"/>
      <family val="2"/>
    </font>
    <font>
      <b/>
      <i/>
      <sz val="8"/>
      <name val="Arial"/>
      <family val="2"/>
    </font>
    <font>
      <sz val="8"/>
      <color indexed="8"/>
      <name val="Arial"/>
      <family val="2"/>
    </font>
    <font>
      <sz val="8"/>
      <color theme="1"/>
      <name val="Arial"/>
      <family val="2"/>
    </font>
    <font>
      <b/>
      <sz val="10"/>
      <color theme="1"/>
      <name val="Calibri"/>
      <family val="2"/>
      <scheme val="minor"/>
    </font>
    <font>
      <sz val="10"/>
      <name val="Calibri"/>
      <family val="2"/>
      <scheme val="minor"/>
    </font>
    <font>
      <b/>
      <u/>
      <sz val="11"/>
      <color theme="1"/>
      <name val="Times New Roman"/>
      <family val="1"/>
    </font>
    <font>
      <b/>
      <sz val="11"/>
      <color theme="1"/>
      <name val="Times New Roman"/>
      <family val="1"/>
    </font>
    <font>
      <sz val="20"/>
      <color rgb="FF000000"/>
      <name val="Cambri"/>
    </font>
    <font>
      <b/>
      <sz val="11"/>
      <color rgb="FF7030A0"/>
      <name val="Calibri"/>
      <family val="2"/>
      <scheme val="minor"/>
    </font>
  </fonts>
  <fills count="5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59999389629810485"/>
        <bgColor indexed="64"/>
      </patternFill>
    </fill>
    <fill>
      <patternFill patternType="solid">
        <fgColor theme="1"/>
        <bgColor indexed="64"/>
      </patternFill>
    </fill>
    <fill>
      <patternFill patternType="lightGray">
        <bgColor rgb="FFCCCCCC"/>
      </patternFill>
    </fill>
    <fill>
      <patternFill patternType="solid">
        <fgColor theme="0"/>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rgb="FFFF0000"/>
        <bgColor indexed="64"/>
      </patternFill>
    </fill>
    <fill>
      <patternFill patternType="lightGray">
        <bgColor theme="0" tint="-0.249977111117893"/>
      </patternFill>
    </fill>
    <fill>
      <patternFill patternType="solid">
        <fgColor theme="8" tint="0.59999389629810485"/>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6" tint="0.59999389629810485"/>
        <bgColor indexed="64"/>
      </patternFill>
    </fill>
    <fill>
      <patternFill patternType="solid">
        <fgColor theme="7" tint="0.59999389629810485"/>
        <bgColor indexed="64"/>
      </patternFill>
    </fill>
    <fill>
      <patternFill patternType="solid">
        <fgColor rgb="FFBDD7EE"/>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9"/>
        <bgColor indexed="64"/>
      </patternFill>
    </fill>
    <fill>
      <patternFill patternType="solid">
        <fgColor theme="8"/>
        <bgColor indexed="64"/>
      </patternFill>
    </fill>
    <fill>
      <patternFill patternType="solid">
        <fgColor theme="5" tint="0.39994506668294322"/>
        <bgColor indexed="64"/>
      </patternFill>
    </fill>
    <fill>
      <patternFill patternType="solid">
        <fgColor theme="7" tint="0.39994506668294322"/>
        <bgColor indexed="64"/>
      </patternFill>
    </fill>
  </fills>
  <borders count="9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thin">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style="medium">
        <color indexed="64"/>
      </top>
      <bottom style="double">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right style="medium">
        <color indexed="64"/>
      </right>
      <top style="thin">
        <color indexed="64"/>
      </top>
      <bottom/>
      <diagonal/>
    </border>
    <border>
      <left style="medium">
        <color indexed="64"/>
      </left>
      <right style="thin">
        <color indexed="64"/>
      </right>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double">
        <color indexed="64"/>
      </bottom>
      <diagonal/>
    </border>
    <border>
      <left/>
      <right style="thin">
        <color indexed="64"/>
      </right>
      <top style="medium">
        <color indexed="64"/>
      </top>
      <bottom style="double">
        <color indexed="64"/>
      </bottom>
      <diagonal/>
    </border>
    <border>
      <left style="medium">
        <color indexed="64"/>
      </left>
      <right/>
      <top style="double">
        <color indexed="64"/>
      </top>
      <bottom style="medium">
        <color indexed="64"/>
      </bottom>
      <diagonal/>
    </border>
    <border>
      <left/>
      <right style="thin">
        <color indexed="64"/>
      </right>
      <top style="double">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bottom style="thin">
        <color indexed="64"/>
      </bottom>
      <diagonal/>
    </border>
    <border>
      <left style="thin">
        <color indexed="64"/>
      </left>
      <right style="medium">
        <color indexed="64"/>
      </right>
      <top style="medium">
        <color indexed="64"/>
      </top>
      <bottom/>
      <diagonal/>
    </border>
    <border>
      <left style="medium">
        <color indexed="64"/>
      </left>
      <right style="medium">
        <color indexed="64"/>
      </right>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bottom/>
      <diagonal/>
    </border>
    <border>
      <left/>
      <right style="dotted">
        <color theme="1" tint="0.499984740745262"/>
      </right>
      <top style="dotted">
        <color theme="0" tint="-4.9989318521683403E-2"/>
      </top>
      <bottom style="dotted">
        <color theme="0" tint="-4.9989318521683403E-2"/>
      </bottom>
      <diagonal/>
    </border>
    <border>
      <left style="dotted">
        <color theme="1" tint="0.499984740745262"/>
      </left>
      <right style="dotted">
        <color theme="1" tint="0.499984740745262"/>
      </right>
      <top style="dotted">
        <color theme="0" tint="-4.9989318521683403E-2"/>
      </top>
      <bottom style="dotted">
        <color theme="0" tint="-4.9989318521683403E-2"/>
      </bottom>
      <diagonal/>
    </border>
    <border>
      <left style="dotted">
        <color theme="1" tint="0.499984740745262"/>
      </left>
      <right/>
      <top style="dotted">
        <color theme="0" tint="-4.9989318521683403E-2"/>
      </top>
      <bottom style="dotted">
        <color theme="0" tint="-4.9989318521683403E-2"/>
      </bottom>
      <diagonal/>
    </border>
    <border>
      <left style="thin">
        <color indexed="64"/>
      </left>
      <right/>
      <top style="medium">
        <color indexed="64"/>
      </top>
      <bottom style="medium">
        <color indexed="64"/>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style="thin">
        <color indexed="64"/>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thin">
        <color indexed="64"/>
      </top>
      <bottom/>
      <diagonal/>
    </border>
    <border>
      <left style="thin">
        <color indexed="64"/>
      </left>
      <right style="thin">
        <color indexed="64"/>
      </right>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s>
  <cellStyleXfs count="48">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52" fillId="0" borderId="0"/>
    <xf numFmtId="0" fontId="54" fillId="0" borderId="0" applyNumberFormat="0" applyFill="0" applyBorder="0" applyAlignment="0" applyProtection="0"/>
    <xf numFmtId="0" fontId="55" fillId="0" borderId="0"/>
    <xf numFmtId="0" fontId="56" fillId="0" borderId="0"/>
  </cellStyleXfs>
  <cellXfs count="860">
    <xf numFmtId="0" fontId="0" fillId="0" borderId="0" xfId="0"/>
    <xf numFmtId="0" fontId="0" fillId="0" borderId="0" xfId="0" applyAlignment="1">
      <alignment horizontal="center"/>
    </xf>
    <xf numFmtId="14" fontId="0" fillId="0" borderId="0" xfId="0" applyNumberFormat="1"/>
    <xf numFmtId="0" fontId="0" fillId="36" borderId="18" xfId="0" applyFill="1" applyBorder="1"/>
    <xf numFmtId="0" fontId="0" fillId="36" borderId="19" xfId="0" applyFill="1" applyBorder="1"/>
    <xf numFmtId="0" fontId="16" fillId="0" borderId="0" xfId="0" applyFont="1"/>
    <xf numFmtId="0" fontId="22" fillId="36" borderId="18" xfId="0" applyFont="1" applyFill="1" applyBorder="1" applyAlignment="1">
      <alignment horizontal="right" vertical="center"/>
    </xf>
    <xf numFmtId="0" fontId="0" fillId="36" borderId="20" xfId="0" applyFill="1" applyBorder="1"/>
    <xf numFmtId="0" fontId="0" fillId="36" borderId="21" xfId="0" applyFill="1" applyBorder="1"/>
    <xf numFmtId="0" fontId="0" fillId="36" borderId="22" xfId="0" applyFill="1" applyBorder="1"/>
    <xf numFmtId="0" fontId="0" fillId="0" borderId="21" xfId="0" applyBorder="1" applyAlignment="1">
      <alignment horizontal="center"/>
    </xf>
    <xf numFmtId="0" fontId="27" fillId="36" borderId="18" xfId="0" applyFont="1" applyFill="1" applyBorder="1"/>
    <xf numFmtId="0" fontId="0" fillId="36" borderId="0" xfId="0" applyFill="1" applyAlignment="1">
      <alignment horizontal="left" vertical="center" wrapText="1"/>
    </xf>
    <xf numFmtId="0" fontId="0" fillId="0" borderId="37" xfId="0" applyBorder="1" applyAlignment="1">
      <alignment horizontal="left" vertical="center" wrapText="1"/>
    </xf>
    <xf numFmtId="0" fontId="0" fillId="0" borderId="28" xfId="0" applyBorder="1" applyAlignment="1">
      <alignment horizontal="left" vertical="center" wrapText="1"/>
    </xf>
    <xf numFmtId="0" fontId="0" fillId="0" borderId="36" xfId="0" applyBorder="1" applyAlignment="1">
      <alignment horizontal="left" vertical="center" wrapText="1"/>
    </xf>
    <xf numFmtId="0" fontId="0" fillId="0" borderId="39" xfId="0" applyBorder="1" applyAlignment="1">
      <alignment horizontal="left" vertical="center" wrapText="1"/>
    </xf>
    <xf numFmtId="0" fontId="0" fillId="0" borderId="40" xfId="0" applyBorder="1" applyAlignment="1">
      <alignment horizontal="left" vertical="center" wrapText="1"/>
    </xf>
    <xf numFmtId="0" fontId="0" fillId="0" borderId="32" xfId="0" applyBorder="1" applyAlignment="1">
      <alignment horizontal="left" vertical="center" wrapText="1"/>
    </xf>
    <xf numFmtId="0" fontId="0" fillId="0" borderId="26" xfId="0" applyBorder="1" applyAlignment="1">
      <alignment horizontal="left" vertical="center" wrapText="1"/>
    </xf>
    <xf numFmtId="0" fontId="0" fillId="0" borderId="41" xfId="0" applyBorder="1" applyAlignment="1">
      <alignment horizontal="left" vertical="center" wrapText="1"/>
    </xf>
    <xf numFmtId="0" fontId="0" fillId="0" borderId="42" xfId="0" applyBorder="1" applyAlignment="1">
      <alignment horizontal="left" vertical="center" wrapText="1"/>
    </xf>
    <xf numFmtId="0" fontId="0" fillId="0" borderId="34" xfId="0" applyBorder="1" applyAlignment="1">
      <alignment horizontal="left" vertical="center" wrapText="1"/>
    </xf>
    <xf numFmtId="0" fontId="16" fillId="0" borderId="46" xfId="0" applyFont="1" applyBorder="1" applyAlignment="1">
      <alignment horizontal="center" vertical="center" wrapText="1"/>
    </xf>
    <xf numFmtId="0" fontId="16" fillId="0" borderId="63" xfId="0" applyFont="1" applyBorder="1" applyAlignment="1">
      <alignment horizontal="center" vertical="center" wrapText="1"/>
    </xf>
    <xf numFmtId="0" fontId="16" fillId="0" borderId="61" xfId="0" applyFont="1" applyBorder="1" applyAlignment="1">
      <alignment horizontal="center" vertical="center" wrapText="1"/>
    </xf>
    <xf numFmtId="0" fontId="16" fillId="0" borderId="37" xfId="0" applyFont="1" applyBorder="1" applyAlignment="1">
      <alignment horizontal="center" vertical="center" wrapText="1"/>
    </xf>
    <xf numFmtId="0" fontId="16" fillId="0" borderId="39" xfId="0" applyFont="1" applyBorder="1" applyAlignment="1">
      <alignment horizontal="center" vertical="center" wrapText="1"/>
    </xf>
    <xf numFmtId="0" fontId="16" fillId="0" borderId="41" xfId="0" applyFont="1" applyBorder="1" applyAlignment="1">
      <alignment horizontal="center" vertical="center" wrapText="1"/>
    </xf>
    <xf numFmtId="0" fontId="27" fillId="36" borderId="0" xfId="0" applyFont="1" applyFill="1" applyAlignment="1">
      <alignment horizontal="left" vertical="center" wrapText="1"/>
    </xf>
    <xf numFmtId="0" fontId="16" fillId="36" borderId="0" xfId="0" applyFont="1" applyFill="1" applyAlignment="1">
      <alignment horizontal="left" vertical="center" wrapText="1"/>
    </xf>
    <xf numFmtId="0" fontId="16" fillId="36" borderId="0" xfId="0" applyFont="1" applyFill="1" applyAlignment="1">
      <alignment horizontal="center" vertical="center" wrapText="1"/>
    </xf>
    <xf numFmtId="0" fontId="0" fillId="36" borderId="0" xfId="0" applyFill="1" applyAlignment="1">
      <alignment horizontal="left" vertical="center"/>
    </xf>
    <xf numFmtId="0" fontId="0" fillId="0" borderId="0" xfId="0" quotePrefix="1"/>
    <xf numFmtId="0" fontId="0" fillId="0" borderId="10" xfId="0" applyBorder="1" applyAlignment="1">
      <alignment horizontal="center"/>
    </xf>
    <xf numFmtId="0" fontId="16" fillId="38" borderId="36" xfId="0" applyFont="1" applyFill="1" applyBorder="1" applyAlignment="1">
      <alignment horizontal="left" vertical="center" wrapText="1"/>
    </xf>
    <xf numFmtId="0" fontId="16" fillId="38" borderId="32" xfId="0" applyFont="1" applyFill="1" applyBorder="1" applyAlignment="1">
      <alignment horizontal="left" vertical="center" wrapText="1"/>
    </xf>
    <xf numFmtId="0" fontId="16" fillId="38" borderId="34" xfId="0" applyFont="1" applyFill="1" applyBorder="1" applyAlignment="1">
      <alignment horizontal="left" vertical="center" wrapText="1"/>
    </xf>
    <xf numFmtId="0" fontId="27" fillId="38" borderId="31" xfId="0" applyFont="1" applyFill="1" applyBorder="1" applyAlignment="1">
      <alignment horizontal="left" vertical="center"/>
    </xf>
    <xf numFmtId="0" fontId="36" fillId="38" borderId="11" xfId="0" applyFont="1" applyFill="1" applyBorder="1" applyAlignment="1">
      <alignment horizontal="center" vertical="center"/>
    </xf>
    <xf numFmtId="0" fontId="36" fillId="38" borderId="16" xfId="0" applyFont="1" applyFill="1" applyBorder="1" applyAlignment="1">
      <alignment horizontal="center" vertical="center"/>
    </xf>
    <xf numFmtId="0" fontId="37" fillId="38" borderId="37" xfId="0" applyFont="1" applyFill="1" applyBorder="1" applyAlignment="1">
      <alignment horizontal="left" vertical="center"/>
    </xf>
    <xf numFmtId="0" fontId="38" fillId="38" borderId="28" xfId="0" applyFont="1" applyFill="1" applyBorder="1" applyAlignment="1">
      <alignment horizontal="left" vertical="center"/>
    </xf>
    <xf numFmtId="0" fontId="0" fillId="0" borderId="20" xfId="0" applyBorder="1" applyAlignment="1">
      <alignment horizontal="center" vertical="center" wrapText="1"/>
    </xf>
    <xf numFmtId="0" fontId="0" fillId="0" borderId="22" xfId="0" applyBorder="1" applyAlignment="1">
      <alignment horizontal="center" vertical="center" wrapText="1"/>
    </xf>
    <xf numFmtId="0" fontId="16" fillId="0" borderId="10" xfId="0" applyFont="1" applyBorder="1" applyAlignment="1">
      <alignment horizontal="center" vertical="center" wrapText="1"/>
    </xf>
    <xf numFmtId="0" fontId="0" fillId="0" borderId="0" xfId="0" applyAlignment="1">
      <alignment horizontal="center" vertical="center"/>
    </xf>
    <xf numFmtId="0" fontId="0" fillId="0" borderId="0" xfId="0" applyAlignment="1">
      <alignment vertical="center"/>
    </xf>
    <xf numFmtId="0" fontId="0" fillId="0" borderId="0" xfId="0" applyAlignment="1">
      <alignment horizontal="center" vertical="center" wrapText="1"/>
    </xf>
    <xf numFmtId="0" fontId="0" fillId="0" borderId="18" xfId="0" applyBorder="1" applyAlignment="1">
      <alignment horizontal="center"/>
    </xf>
    <xf numFmtId="0" fontId="0" fillId="0" borderId="10" xfId="0" applyBorder="1" applyAlignment="1">
      <alignment horizontal="center" vertical="center" wrapText="1"/>
    </xf>
    <xf numFmtId="0" fontId="0" fillId="0" borderId="10" xfId="0" applyBorder="1" applyAlignment="1">
      <alignment horizontal="left"/>
    </xf>
    <xf numFmtId="0" fontId="16" fillId="0" borderId="26" xfId="0" applyFont="1" applyBorder="1" applyAlignment="1">
      <alignment horizontal="center" vertical="center" wrapText="1"/>
    </xf>
    <xf numFmtId="0" fontId="0" fillId="0" borderId="41" xfId="0" applyBorder="1" applyAlignment="1">
      <alignment horizontal="center"/>
    </xf>
    <xf numFmtId="0" fontId="0" fillId="0" borderId="43" xfId="0" applyBorder="1" applyAlignment="1">
      <alignment horizontal="center"/>
    </xf>
    <xf numFmtId="0" fontId="0" fillId="0" borderId="42" xfId="0" applyBorder="1" applyAlignment="1">
      <alignment horizontal="center"/>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0" fillId="0" borderId="14" xfId="0" applyBorder="1" applyAlignment="1">
      <alignment horizontal="center" vertical="center" wrapText="1"/>
    </xf>
    <xf numFmtId="0" fontId="0" fillId="0" borderId="34" xfId="0" applyBorder="1" applyAlignment="1">
      <alignment horizontal="center"/>
    </xf>
    <xf numFmtId="1" fontId="0" fillId="0" borderId="20" xfId="0" applyNumberFormat="1" applyBorder="1" applyAlignment="1">
      <alignment horizontal="center" vertical="center"/>
    </xf>
    <xf numFmtId="1" fontId="0" fillId="0" borderId="21" xfId="0" applyNumberFormat="1" applyBorder="1" applyAlignment="1">
      <alignment horizontal="center" vertical="center"/>
    </xf>
    <xf numFmtId="1" fontId="0" fillId="0" borderId="22" xfId="0" applyNumberFormat="1" applyBorder="1" applyAlignment="1">
      <alignment horizontal="center" vertical="center"/>
    </xf>
    <xf numFmtId="0" fontId="0" fillId="0" borderId="15" xfId="0" applyBorder="1" applyAlignment="1">
      <alignment horizontal="center"/>
    </xf>
    <xf numFmtId="0" fontId="0" fillId="0" borderId="17"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xf>
    <xf numFmtId="0" fontId="0" fillId="0" borderId="22" xfId="0" applyBorder="1" applyAlignment="1">
      <alignment horizontal="center" vertical="center"/>
    </xf>
    <xf numFmtId="0" fontId="0" fillId="0" borderId="16" xfId="0" applyBorder="1" applyAlignment="1">
      <alignment horizontal="center"/>
    </xf>
    <xf numFmtId="0" fontId="0" fillId="0" borderId="17" xfId="0" applyBorder="1" applyAlignment="1">
      <alignment horizontal="center"/>
    </xf>
    <xf numFmtId="0" fontId="0" fillId="0" borderId="19" xfId="0" applyBorder="1" applyAlignment="1">
      <alignment horizontal="center"/>
    </xf>
    <xf numFmtId="0" fontId="0" fillId="0" borderId="22" xfId="0" applyBorder="1" applyAlignment="1">
      <alignment horizontal="center"/>
    </xf>
    <xf numFmtId="0" fontId="39" fillId="38" borderId="0" xfId="0" applyFont="1" applyFill="1"/>
    <xf numFmtId="0" fontId="39" fillId="38" borderId="0" xfId="0" applyFont="1" applyFill="1" applyAlignment="1">
      <alignment horizontal="center"/>
    </xf>
    <xf numFmtId="0" fontId="0" fillId="0" borderId="0" xfId="0" applyAlignment="1">
      <alignment vertical="center" wrapText="1"/>
    </xf>
    <xf numFmtId="0" fontId="0" fillId="0" borderId="29" xfId="0" applyBorder="1" applyAlignment="1">
      <alignment horizontal="center" vertical="center"/>
    </xf>
    <xf numFmtId="0" fontId="0" fillId="0" borderId="36" xfId="0" applyBorder="1" applyAlignment="1">
      <alignment horizontal="center"/>
    </xf>
    <xf numFmtId="0" fontId="0" fillId="0" borderId="32" xfId="0" applyBorder="1" applyAlignment="1">
      <alignment horizontal="center"/>
    </xf>
    <xf numFmtId="0" fontId="0" fillId="0" borderId="37" xfId="0" applyBorder="1" applyAlignment="1">
      <alignment horizontal="center"/>
    </xf>
    <xf numFmtId="0" fontId="0" fillId="0" borderId="38" xfId="0" applyBorder="1" applyAlignment="1">
      <alignment horizontal="center"/>
    </xf>
    <xf numFmtId="0" fontId="0" fillId="0" borderId="28" xfId="0" applyBorder="1" applyAlignment="1">
      <alignment horizontal="center"/>
    </xf>
    <xf numFmtId="0" fontId="0" fillId="0" borderId="39" xfId="0" applyBorder="1" applyAlignment="1">
      <alignment horizontal="center"/>
    </xf>
    <xf numFmtId="0" fontId="0" fillId="0" borderId="40" xfId="0" applyBorder="1" applyAlignment="1">
      <alignment horizontal="center"/>
    </xf>
    <xf numFmtId="3" fontId="0" fillId="0" borderId="37" xfId="0" applyNumberFormat="1" applyBorder="1" applyAlignment="1">
      <alignment horizontal="center"/>
    </xf>
    <xf numFmtId="3" fontId="0" fillId="0" borderId="28" xfId="0" applyNumberFormat="1" applyBorder="1" applyAlignment="1">
      <alignment horizontal="center"/>
    </xf>
    <xf numFmtId="3" fontId="0" fillId="0" borderId="39" xfId="0" applyNumberFormat="1" applyBorder="1" applyAlignment="1">
      <alignment horizontal="center"/>
    </xf>
    <xf numFmtId="3" fontId="0" fillId="0" borderId="40" xfId="0" applyNumberFormat="1" applyBorder="1" applyAlignment="1">
      <alignment horizontal="center"/>
    </xf>
    <xf numFmtId="3" fontId="0" fillId="0" borderId="41" xfId="0" applyNumberFormat="1" applyBorder="1" applyAlignment="1">
      <alignment horizontal="center"/>
    </xf>
    <xf numFmtId="3" fontId="0" fillId="0" borderId="42" xfId="0" applyNumberFormat="1" applyBorder="1" applyAlignment="1">
      <alignment horizontal="center"/>
    </xf>
    <xf numFmtId="0" fontId="16" fillId="0" borderId="0" xfId="0" applyFont="1" applyAlignment="1">
      <alignment horizontal="center" vertical="center" wrapText="1"/>
    </xf>
    <xf numFmtId="0" fontId="16" fillId="0" borderId="0" xfId="0" applyFont="1" applyAlignment="1">
      <alignment vertical="center"/>
    </xf>
    <xf numFmtId="0" fontId="42" fillId="0" borderId="0" xfId="0" applyFont="1"/>
    <xf numFmtId="0" fontId="20" fillId="0" borderId="0" xfId="0" applyFont="1"/>
    <xf numFmtId="0" fontId="43" fillId="0" borderId="0" xfId="0" applyFont="1"/>
    <xf numFmtId="0" fontId="27" fillId="0" borderId="26" xfId="0" applyFont="1" applyBorder="1" applyAlignment="1">
      <alignment horizontal="left" vertical="center"/>
    </xf>
    <xf numFmtId="0" fontId="0" fillId="0" borderId="0" xfId="0" applyAlignment="1">
      <alignment horizontal="left" vertical="center"/>
    </xf>
    <xf numFmtId="0" fontId="27" fillId="0" borderId="0" xfId="0" applyFont="1" applyAlignment="1">
      <alignment horizontal="left" vertical="center"/>
    </xf>
    <xf numFmtId="0" fontId="0" fillId="0" borderId="0" xfId="0" applyAlignment="1" applyProtection="1">
      <alignment wrapText="1"/>
      <protection locked="0"/>
    </xf>
    <xf numFmtId="0" fontId="0" fillId="0" borderId="0" xfId="0" applyProtection="1">
      <protection locked="0"/>
    </xf>
    <xf numFmtId="0" fontId="20" fillId="0" borderId="21" xfId="0" applyFont="1" applyBorder="1" applyAlignment="1">
      <alignment wrapText="1"/>
    </xf>
    <xf numFmtId="10" fontId="32" fillId="0" borderId="0" xfId="0" applyNumberFormat="1" applyFont="1" applyAlignment="1">
      <alignment horizontal="center" vertical="center"/>
    </xf>
    <xf numFmtId="10" fontId="32" fillId="36" borderId="40" xfId="0" applyNumberFormat="1" applyFont="1" applyFill="1" applyBorder="1" applyAlignment="1">
      <alignment horizontal="center" vertical="center"/>
    </xf>
    <xf numFmtId="10" fontId="32" fillId="36" borderId="42" xfId="0" applyNumberFormat="1" applyFont="1" applyFill="1" applyBorder="1" applyAlignment="1">
      <alignment horizontal="center" vertical="center"/>
    </xf>
    <xf numFmtId="0" fontId="16" fillId="0" borderId="0" xfId="0" applyFont="1" applyAlignment="1">
      <alignment horizontal="center" wrapText="1"/>
    </xf>
    <xf numFmtId="0" fontId="27" fillId="0" borderId="0" xfId="0" applyFont="1"/>
    <xf numFmtId="0" fontId="16" fillId="0" borderId="10" xfId="0" applyFont="1" applyBorder="1" applyAlignment="1">
      <alignment horizontal="center"/>
    </xf>
    <xf numFmtId="0" fontId="16" fillId="49" borderId="48" xfId="0" applyFont="1" applyFill="1" applyBorder="1"/>
    <xf numFmtId="0" fontId="0" fillId="49" borderId="91" xfId="0" applyFill="1" applyBorder="1"/>
    <xf numFmtId="10" fontId="32" fillId="49" borderId="49" xfId="0" applyNumberFormat="1" applyFont="1" applyFill="1" applyBorder="1" applyAlignment="1">
      <alignment horizontal="center" vertical="center"/>
    </xf>
    <xf numFmtId="0" fontId="0" fillId="0" borderId="38" xfId="0" applyBorder="1"/>
    <xf numFmtId="10" fontId="32" fillId="36" borderId="28" xfId="0" applyNumberFormat="1" applyFont="1" applyFill="1" applyBorder="1" applyAlignment="1">
      <alignment horizontal="center" vertical="center"/>
    </xf>
    <xf numFmtId="0" fontId="16" fillId="49" borderId="37" xfId="0" applyFont="1" applyFill="1" applyBorder="1"/>
    <xf numFmtId="0" fontId="24" fillId="36" borderId="18" xfId="0" applyFont="1" applyFill="1" applyBorder="1" applyAlignment="1" applyProtection="1">
      <alignment horizontal="center"/>
      <protection locked="0"/>
    </xf>
    <xf numFmtId="0" fontId="24" fillId="36" borderId="0" xfId="0" applyFont="1" applyFill="1" applyAlignment="1" applyProtection="1">
      <alignment horizontal="center"/>
      <protection locked="0"/>
    </xf>
    <xf numFmtId="0" fontId="0" fillId="36" borderId="0" xfId="0" applyFill="1" applyProtection="1">
      <protection locked="0"/>
    </xf>
    <xf numFmtId="0" fontId="0" fillId="36" borderId="19" xfId="0" applyFill="1" applyBorder="1" applyProtection="1">
      <protection locked="0"/>
    </xf>
    <xf numFmtId="0" fontId="0" fillId="36" borderId="18" xfId="0" applyFill="1" applyBorder="1" applyProtection="1">
      <protection locked="0"/>
    </xf>
    <xf numFmtId="0" fontId="0" fillId="36" borderId="0" xfId="0" applyFill="1" applyAlignment="1" applyProtection="1">
      <alignment horizontal="center"/>
      <protection locked="0"/>
    </xf>
    <xf numFmtId="0" fontId="16" fillId="36" borderId="0" xfId="0" applyFont="1" applyFill="1" applyAlignment="1" applyProtection="1">
      <alignment horizontal="center"/>
      <protection locked="0"/>
    </xf>
    <xf numFmtId="0" fontId="16" fillId="36" borderId="29" xfId="0" applyFont="1" applyFill="1" applyBorder="1" applyAlignment="1" applyProtection="1">
      <alignment horizontal="center" vertical="center" wrapText="1"/>
      <protection locked="0"/>
    </xf>
    <xf numFmtId="0" fontId="16" fillId="36" borderId="25" xfId="0" applyFont="1" applyFill="1" applyBorder="1" applyAlignment="1" applyProtection="1">
      <alignment horizontal="center" vertical="center" wrapText="1"/>
      <protection locked="0"/>
    </xf>
    <xf numFmtId="0" fontId="16" fillId="0" borderId="29" xfId="0" applyFont="1" applyBorder="1" applyProtection="1">
      <protection locked="0"/>
    </xf>
    <xf numFmtId="0" fontId="0" fillId="0" borderId="36" xfId="0" applyBorder="1" applyAlignment="1" applyProtection="1">
      <alignment vertical="top"/>
      <protection locked="0"/>
    </xf>
    <xf numFmtId="0" fontId="0" fillId="33" borderId="46" xfId="0" applyFill="1" applyBorder="1" applyAlignment="1" applyProtection="1">
      <alignment horizontal="left" vertical="center"/>
      <protection locked="0"/>
    </xf>
    <xf numFmtId="0" fontId="0" fillId="44" borderId="28" xfId="0" applyFill="1" applyBorder="1" applyAlignment="1" applyProtection="1">
      <alignment horizontal="left" vertical="center"/>
      <protection locked="0"/>
    </xf>
    <xf numFmtId="0" fontId="0" fillId="36" borderId="76" xfId="0" applyFill="1" applyBorder="1" applyAlignment="1" applyProtection="1">
      <alignment vertical="center"/>
      <protection locked="0"/>
    </xf>
    <xf numFmtId="0" fontId="16" fillId="0" borderId="36" xfId="0" applyFont="1" applyBorder="1" applyProtection="1">
      <protection locked="0"/>
    </xf>
    <xf numFmtId="0" fontId="0" fillId="44" borderId="76" xfId="0" applyFill="1" applyBorder="1" applyProtection="1">
      <protection locked="0"/>
    </xf>
    <xf numFmtId="0" fontId="0" fillId="0" borderId="32" xfId="0" applyBorder="1" applyAlignment="1" applyProtection="1">
      <alignment vertical="top"/>
      <protection locked="0"/>
    </xf>
    <xf numFmtId="0" fontId="0" fillId="33" borderId="63" xfId="0" applyFill="1" applyBorder="1" applyAlignment="1" applyProtection="1">
      <alignment horizontal="left" vertical="center"/>
      <protection locked="0"/>
    </xf>
    <xf numFmtId="0" fontId="0" fillId="44" borderId="40" xfId="0" applyFill="1" applyBorder="1" applyAlignment="1" applyProtection="1">
      <alignment horizontal="left" vertical="center"/>
      <protection locked="0"/>
    </xf>
    <xf numFmtId="0" fontId="0" fillId="36" borderId="32" xfId="0" applyFill="1" applyBorder="1" applyAlignment="1" applyProtection="1">
      <alignment vertical="center"/>
      <protection locked="0"/>
    </xf>
    <xf numFmtId="14" fontId="0" fillId="33" borderId="33" xfId="0" applyNumberFormat="1" applyFill="1" applyBorder="1" applyAlignment="1" applyProtection="1">
      <alignment horizontal="center" vertical="center"/>
      <protection locked="0"/>
    </xf>
    <xf numFmtId="0" fontId="16" fillId="0" borderId="34" xfId="0" applyFont="1" applyBorder="1" applyProtection="1">
      <protection locked="0"/>
    </xf>
    <xf numFmtId="0" fontId="0" fillId="44" borderId="34" xfId="0" applyFill="1" applyBorder="1" applyProtection="1">
      <protection locked="0"/>
    </xf>
    <xf numFmtId="0" fontId="46" fillId="35" borderId="32" xfId="0" applyFont="1" applyFill="1" applyBorder="1" applyAlignment="1" applyProtection="1">
      <alignment vertical="center"/>
      <protection locked="0"/>
    </xf>
    <xf numFmtId="0" fontId="46" fillId="35" borderId="33" xfId="0" applyFont="1" applyFill="1" applyBorder="1" applyAlignment="1" applyProtection="1">
      <alignment horizontal="center" vertical="center"/>
      <protection locked="0"/>
    </xf>
    <xf numFmtId="0" fontId="0" fillId="0" borderId="32" xfId="0" applyBorder="1" applyProtection="1">
      <protection locked="0"/>
    </xf>
    <xf numFmtId="1" fontId="0" fillId="33" borderId="33" xfId="0" applyNumberFormat="1" applyFill="1" applyBorder="1" applyAlignment="1" applyProtection="1">
      <alignment horizontal="center"/>
      <protection locked="0"/>
    </xf>
    <xf numFmtId="0" fontId="53" fillId="36" borderId="0" xfId="0" applyFont="1" applyFill="1" applyAlignment="1" applyProtection="1">
      <alignment vertical="top"/>
      <protection locked="0"/>
    </xf>
    <xf numFmtId="0" fontId="48" fillId="36" borderId="0" xfId="0" applyFont="1" applyFill="1" applyAlignment="1" applyProtection="1">
      <alignment vertical="top"/>
      <protection locked="0"/>
    </xf>
    <xf numFmtId="0" fontId="46" fillId="36" borderId="32" xfId="0" applyFont="1" applyFill="1" applyBorder="1" applyAlignment="1" applyProtection="1">
      <alignment vertical="center"/>
      <protection locked="0"/>
    </xf>
    <xf numFmtId="0" fontId="16" fillId="36" borderId="12" xfId="0" applyFont="1" applyFill="1" applyBorder="1" applyAlignment="1" applyProtection="1">
      <alignment vertical="top"/>
      <protection locked="0"/>
    </xf>
    <xf numFmtId="0" fontId="16" fillId="36" borderId="13" xfId="0" applyFont="1" applyFill="1" applyBorder="1" applyAlignment="1" applyProtection="1">
      <alignment vertical="top"/>
      <protection locked="0"/>
    </xf>
    <xf numFmtId="0" fontId="16" fillId="36" borderId="13" xfId="0" applyFont="1" applyFill="1" applyBorder="1" applyProtection="1">
      <protection locked="0"/>
    </xf>
    <xf numFmtId="0" fontId="16" fillId="36" borderId="14" xfId="0" applyFont="1" applyFill="1" applyBorder="1" applyProtection="1">
      <protection locked="0"/>
    </xf>
    <xf numFmtId="0" fontId="16" fillId="36" borderId="25" xfId="0" applyFont="1" applyFill="1" applyBorder="1" applyProtection="1">
      <protection locked="0"/>
    </xf>
    <xf numFmtId="0" fontId="0" fillId="44" borderId="44" xfId="0" applyFill="1" applyBorder="1" applyProtection="1">
      <protection locked="0"/>
    </xf>
    <xf numFmtId="0" fontId="0" fillId="44" borderId="27" xfId="0" applyFill="1" applyBorder="1" applyProtection="1">
      <protection locked="0"/>
    </xf>
    <xf numFmtId="0" fontId="0" fillId="44" borderId="74" xfId="0" applyFill="1" applyBorder="1" applyProtection="1">
      <protection locked="0"/>
      <extLst>
        <ext xmlns:xfpb="http://schemas.microsoft.com/office/spreadsheetml/2022/featurepropertybag" uri="{C7286773-470A-42A8-94C5-96B5CB345126}">
          <xfpb:xfComplement i="0"/>
        </ext>
      </extLst>
    </xf>
    <xf numFmtId="0" fontId="0" fillId="44" borderId="39" xfId="0" applyFill="1" applyBorder="1" applyProtection="1">
      <protection locked="0"/>
    </xf>
    <xf numFmtId="0" fontId="0" fillId="44" borderId="10" xfId="0" applyFill="1" applyBorder="1" applyProtection="1">
      <protection locked="0"/>
    </xf>
    <xf numFmtId="0" fontId="0" fillId="44" borderId="40" xfId="0" applyFill="1" applyBorder="1" applyProtection="1">
      <protection locked="0"/>
      <extLst>
        <ext xmlns:xfpb="http://schemas.microsoft.com/office/spreadsheetml/2022/featurepropertybag" uri="{C7286773-470A-42A8-94C5-96B5CB345126}">
          <xfpb:xfComplement i="0"/>
        </ext>
      </extLst>
    </xf>
    <xf numFmtId="0" fontId="0" fillId="33" borderId="63" xfId="0" applyFill="1" applyBorder="1" applyAlignment="1" applyProtection="1">
      <alignment horizontal="left" vertical="center" wrapText="1"/>
      <protection locked="0"/>
    </xf>
    <xf numFmtId="0" fontId="0" fillId="44" borderId="40" xfId="0" applyFill="1" applyBorder="1" applyAlignment="1" applyProtection="1">
      <alignment horizontal="left" vertical="center" wrapText="1"/>
      <protection locked="0"/>
    </xf>
    <xf numFmtId="0" fontId="0" fillId="44" borderId="63" xfId="0" applyFill="1" applyBorder="1" applyAlignment="1" applyProtection="1">
      <alignment horizontal="left" vertical="center"/>
      <protection locked="0"/>
    </xf>
    <xf numFmtId="0" fontId="46" fillId="36" borderId="34" xfId="0" applyFont="1" applyFill="1" applyBorder="1" applyAlignment="1" applyProtection="1">
      <alignment vertical="center"/>
      <protection locked="0"/>
    </xf>
    <xf numFmtId="1" fontId="0" fillId="33" borderId="35" xfId="0" applyNumberFormat="1" applyFill="1" applyBorder="1" applyAlignment="1" applyProtection="1">
      <alignment horizontal="center"/>
      <protection locked="0"/>
    </xf>
    <xf numFmtId="0" fontId="0" fillId="44" borderId="41" xfId="0" applyFill="1" applyBorder="1" applyProtection="1">
      <protection locked="0"/>
    </xf>
    <xf numFmtId="0" fontId="0" fillId="44" borderId="43" xfId="0" applyFill="1" applyBorder="1" applyProtection="1">
      <protection locked="0"/>
    </xf>
    <xf numFmtId="0" fontId="0" fillId="44" borderId="42" xfId="0" applyFill="1" applyBorder="1" applyProtection="1">
      <protection locked="0"/>
      <extLst>
        <ext xmlns:xfpb="http://schemas.microsoft.com/office/spreadsheetml/2022/featurepropertybag" uri="{C7286773-470A-42A8-94C5-96B5CB345126}">
          <xfpb:xfComplement i="0"/>
        </ext>
      </extLst>
    </xf>
    <xf numFmtId="165" fontId="0" fillId="33" borderId="63" xfId="43" applyNumberFormat="1" applyFont="1" applyFill="1" applyBorder="1" applyAlignment="1" applyProtection="1">
      <alignment horizontal="left" vertical="center"/>
      <protection locked="0"/>
    </xf>
    <xf numFmtId="165" fontId="0" fillId="44" borderId="40" xfId="43" applyNumberFormat="1" applyFont="1" applyFill="1" applyBorder="1" applyAlignment="1" applyProtection="1">
      <alignment horizontal="left" vertical="center"/>
      <protection locked="0"/>
    </xf>
    <xf numFmtId="14" fontId="0" fillId="33" borderId="63" xfId="0" applyNumberFormat="1" applyFill="1" applyBorder="1" applyAlignment="1" applyProtection="1">
      <alignment horizontal="left" vertical="center"/>
      <protection locked="0"/>
    </xf>
    <xf numFmtId="14" fontId="0" fillId="44" borderId="40" xfId="0" applyNumberFormat="1" applyFill="1" applyBorder="1" applyAlignment="1" applyProtection="1">
      <alignment horizontal="left" vertical="center"/>
      <protection locked="0"/>
    </xf>
    <xf numFmtId="0" fontId="0" fillId="44" borderId="63" xfId="0" applyFill="1" applyBorder="1" applyAlignment="1" applyProtection="1">
      <alignment vertical="top" wrapText="1"/>
      <protection locked="0"/>
    </xf>
    <xf numFmtId="0" fontId="0" fillId="44" borderId="40" xfId="0" applyFill="1" applyBorder="1" applyAlignment="1" applyProtection="1">
      <alignment vertical="top" wrapText="1"/>
      <protection locked="0"/>
    </xf>
    <xf numFmtId="0" fontId="27" fillId="36" borderId="18" xfId="0" applyFont="1" applyFill="1" applyBorder="1" applyProtection="1">
      <protection locked="0"/>
    </xf>
    <xf numFmtId="0" fontId="49" fillId="36" borderId="18" xfId="0" applyFont="1" applyFill="1" applyBorder="1" applyAlignment="1" applyProtection="1">
      <alignment horizontal="right" vertical="center"/>
      <protection locked="0"/>
    </xf>
    <xf numFmtId="0" fontId="0" fillId="0" borderId="34" xfId="0" applyBorder="1" applyAlignment="1" applyProtection="1">
      <alignment vertical="top"/>
      <protection locked="0"/>
    </xf>
    <xf numFmtId="0" fontId="0" fillId="44" borderId="61" xfId="0" applyFill="1" applyBorder="1" applyAlignment="1" applyProtection="1">
      <alignment vertical="top" wrapText="1"/>
      <protection locked="0"/>
    </xf>
    <xf numFmtId="0" fontId="26" fillId="44" borderId="42" xfId="0" applyFont="1" applyFill="1" applyBorder="1" applyAlignment="1" applyProtection="1">
      <alignment vertical="top" wrapText="1"/>
      <protection locked="0"/>
    </xf>
    <xf numFmtId="0" fontId="0" fillId="36" borderId="20" xfId="0" applyFill="1" applyBorder="1" applyProtection="1">
      <protection locked="0"/>
    </xf>
    <xf numFmtId="0" fontId="0" fillId="36" borderId="21" xfId="0" applyFill="1" applyBorder="1" applyProtection="1">
      <protection locked="0"/>
    </xf>
    <xf numFmtId="0" fontId="0" fillId="36" borderId="21" xfId="0" applyFill="1" applyBorder="1" applyAlignment="1" applyProtection="1">
      <alignment horizontal="left"/>
      <protection locked="0"/>
    </xf>
    <xf numFmtId="0" fontId="0" fillId="36" borderId="22" xfId="0" applyFill="1" applyBorder="1" applyProtection="1">
      <protection locked="0"/>
    </xf>
    <xf numFmtId="0" fontId="0" fillId="0" borderId="0" xfId="0" applyAlignment="1" applyProtection="1">
      <alignment horizontal="left"/>
      <protection locked="0"/>
    </xf>
    <xf numFmtId="3" fontId="18" fillId="42" borderId="40" xfId="0" applyNumberFormat="1" applyFont="1" applyFill="1" applyBorder="1" applyAlignment="1">
      <alignment horizontal="center" vertical="center"/>
    </xf>
    <xf numFmtId="3" fontId="18" fillId="42" borderId="28" xfId="0" applyNumberFormat="1" applyFont="1" applyFill="1" applyBorder="1" applyAlignment="1">
      <alignment horizontal="center" vertical="center"/>
    </xf>
    <xf numFmtId="3" fontId="18" fillId="42" borderId="42" xfId="0" applyNumberFormat="1" applyFont="1" applyFill="1" applyBorder="1" applyAlignment="1">
      <alignment horizontal="center" vertical="center"/>
    </xf>
    <xf numFmtId="3" fontId="0" fillId="42" borderId="50" xfId="42" applyNumberFormat="1" applyFont="1" applyFill="1" applyBorder="1" applyAlignment="1" applyProtection="1">
      <alignment horizontal="center"/>
    </xf>
    <xf numFmtId="3" fontId="0" fillId="42" borderId="49" xfId="42" applyNumberFormat="1" applyFont="1" applyFill="1" applyBorder="1" applyAlignment="1" applyProtection="1">
      <alignment horizontal="center"/>
    </xf>
    <xf numFmtId="164" fontId="0" fillId="42" borderId="37" xfId="0" applyNumberFormat="1" applyFill="1" applyBorder="1" applyAlignment="1">
      <alignment horizontal="center"/>
    </xf>
    <xf numFmtId="164" fontId="0" fillId="42" borderId="39" xfId="0" applyNumberFormat="1" applyFill="1" applyBorder="1" applyAlignment="1">
      <alignment horizontal="center"/>
    </xf>
    <xf numFmtId="164" fontId="0" fillId="42" borderId="41" xfId="0" applyNumberFormat="1" applyFill="1" applyBorder="1" applyAlignment="1">
      <alignment horizontal="center"/>
    </xf>
    <xf numFmtId="164" fontId="0" fillId="42" borderId="28" xfId="0" applyNumberFormat="1" applyFill="1" applyBorder="1" applyAlignment="1">
      <alignment horizontal="center"/>
    </xf>
    <xf numFmtId="164" fontId="0" fillId="42" borderId="42" xfId="0" applyNumberFormat="1" applyFill="1" applyBorder="1" applyAlignment="1">
      <alignment horizontal="center"/>
    </xf>
    <xf numFmtId="0" fontId="0" fillId="42" borderId="37" xfId="0" applyFill="1" applyBorder="1" applyAlignment="1">
      <alignment horizontal="center"/>
    </xf>
    <xf numFmtId="0" fontId="0" fillId="42" borderId="28" xfId="0" applyFill="1" applyBorder="1" applyAlignment="1">
      <alignment horizontal="center"/>
    </xf>
    <xf numFmtId="0" fontId="0" fillId="42" borderId="39" xfId="0" applyFill="1" applyBorder="1" applyAlignment="1">
      <alignment horizontal="center"/>
    </xf>
    <xf numFmtId="0" fontId="0" fillId="42" borderId="40" xfId="0" applyFill="1" applyBorder="1" applyAlignment="1">
      <alignment horizontal="center"/>
    </xf>
    <xf numFmtId="0" fontId="0" fillId="42" borderId="41" xfId="0" applyFill="1" applyBorder="1" applyAlignment="1">
      <alignment horizontal="center"/>
    </xf>
    <xf numFmtId="0" fontId="0" fillId="42" borderId="42" xfId="0" applyFill="1" applyBorder="1" applyAlignment="1">
      <alignment horizontal="center"/>
    </xf>
    <xf numFmtId="0" fontId="0" fillId="42" borderId="0" xfId="0" applyFill="1" applyAlignment="1">
      <alignment horizontal="center"/>
    </xf>
    <xf numFmtId="0" fontId="0" fillId="42" borderId="30" xfId="0" applyFill="1" applyBorder="1" applyAlignment="1">
      <alignment horizontal="center"/>
    </xf>
    <xf numFmtId="0" fontId="19" fillId="42" borderId="0" xfId="0" applyFont="1" applyFill="1" applyAlignment="1">
      <alignment horizontal="center"/>
    </xf>
    <xf numFmtId="0" fontId="19" fillId="42" borderId="30" xfId="0" applyFont="1" applyFill="1" applyBorder="1" applyAlignment="1">
      <alignment horizontal="center"/>
    </xf>
    <xf numFmtId="0" fontId="26" fillId="42" borderId="54" xfId="0" applyFont="1" applyFill="1" applyBorder="1" applyAlignment="1">
      <alignment horizontal="center"/>
    </xf>
    <xf numFmtId="0" fontId="26" fillId="42" borderId="30" xfId="0" applyFont="1" applyFill="1" applyBorder="1" applyAlignment="1">
      <alignment horizontal="center"/>
    </xf>
    <xf numFmtId="0" fontId="26" fillId="42" borderId="55" xfId="0" applyFont="1" applyFill="1" applyBorder="1" applyAlignment="1">
      <alignment horizontal="center"/>
    </xf>
    <xf numFmtId="0" fontId="26" fillId="42" borderId="65" xfId="0" applyFont="1" applyFill="1" applyBorder="1" applyAlignment="1">
      <alignment horizontal="center"/>
    </xf>
    <xf numFmtId="2" fontId="0" fillId="42" borderId="56" xfId="0" applyNumberFormat="1" applyFill="1" applyBorder="1" applyAlignment="1">
      <alignment horizontal="center" vertical="center"/>
    </xf>
    <xf numFmtId="2" fontId="0" fillId="42" borderId="36" xfId="0" applyNumberFormat="1" applyFill="1" applyBorder="1" applyAlignment="1">
      <alignment horizontal="center"/>
    </xf>
    <xf numFmtId="2" fontId="0" fillId="42" borderId="32" xfId="0" applyNumberFormat="1" applyFill="1" applyBorder="1" applyAlignment="1">
      <alignment horizontal="center"/>
    </xf>
    <xf numFmtId="2" fontId="0" fillId="42" borderId="34" xfId="0" applyNumberFormat="1" applyFill="1" applyBorder="1" applyAlignment="1">
      <alignment horizontal="center"/>
    </xf>
    <xf numFmtId="0" fontId="0" fillId="42" borderId="56" xfId="0" applyFill="1" applyBorder="1"/>
    <xf numFmtId="0" fontId="0" fillId="42" borderId="22" xfId="0" applyFill="1" applyBorder="1"/>
    <xf numFmtId="0" fontId="0" fillId="0" borderId="0" xfId="0" applyAlignment="1" applyProtection="1">
      <alignment horizontal="center"/>
      <protection locked="0"/>
    </xf>
    <xf numFmtId="0" fontId="0" fillId="36" borderId="15" xfId="0" applyFill="1" applyBorder="1" applyProtection="1">
      <protection locked="0"/>
    </xf>
    <xf numFmtId="0" fontId="0" fillId="36" borderId="16" xfId="0" applyFill="1" applyBorder="1" applyProtection="1">
      <protection locked="0"/>
    </xf>
    <xf numFmtId="0" fontId="0" fillId="36" borderId="16" xfId="0" applyFill="1" applyBorder="1" applyAlignment="1" applyProtection="1">
      <alignment horizontal="center"/>
      <protection locked="0"/>
    </xf>
    <xf numFmtId="0" fontId="0" fillId="36" borderId="17" xfId="0" applyFill="1" applyBorder="1" applyProtection="1">
      <protection locked="0"/>
    </xf>
    <xf numFmtId="0" fontId="0" fillId="36" borderId="37" xfId="0" applyFill="1" applyBorder="1" applyAlignment="1" applyProtection="1">
      <alignment horizontal="center" vertical="center"/>
      <protection locked="0"/>
    </xf>
    <xf numFmtId="14" fontId="0" fillId="33" borderId="17" xfId="0" applyNumberFormat="1" applyFill="1" applyBorder="1" applyAlignment="1" applyProtection="1">
      <alignment horizontal="center"/>
      <protection locked="0"/>
    </xf>
    <xf numFmtId="0" fontId="27" fillId="36" borderId="0" xfId="0" applyFont="1" applyFill="1" applyProtection="1">
      <protection locked="0"/>
    </xf>
    <xf numFmtId="0" fontId="0" fillId="36" borderId="68" xfId="0" applyFill="1" applyBorder="1" applyProtection="1">
      <protection locked="0"/>
    </xf>
    <xf numFmtId="0" fontId="0" fillId="36" borderId="69" xfId="0" applyFill="1" applyBorder="1" applyProtection="1">
      <protection locked="0"/>
    </xf>
    <xf numFmtId="1" fontId="0" fillId="33" borderId="50" xfId="42" applyNumberFormat="1" applyFont="1" applyFill="1" applyBorder="1" applyAlignment="1" applyProtection="1">
      <alignment horizontal="center"/>
      <protection locked="0"/>
    </xf>
    <xf numFmtId="0" fontId="22" fillId="36" borderId="0" xfId="0" applyFont="1" applyFill="1" applyAlignment="1" applyProtection="1">
      <alignment horizontal="right" vertical="center"/>
      <protection locked="0"/>
    </xf>
    <xf numFmtId="0" fontId="0" fillId="36" borderId="70" xfId="0" applyFill="1" applyBorder="1" applyProtection="1">
      <protection locked="0"/>
    </xf>
    <xf numFmtId="0" fontId="0" fillId="36" borderId="71" xfId="0" applyFill="1" applyBorder="1" applyProtection="1">
      <protection locked="0"/>
    </xf>
    <xf numFmtId="1" fontId="0" fillId="33" borderId="49" xfId="42" applyNumberFormat="1" applyFont="1" applyFill="1" applyBorder="1" applyAlignment="1" applyProtection="1">
      <alignment horizontal="center"/>
      <protection locked="0"/>
    </xf>
    <xf numFmtId="0" fontId="0" fillId="36" borderId="0" xfId="0" applyFill="1" applyAlignment="1" applyProtection="1">
      <alignment wrapText="1"/>
      <protection locked="0"/>
    </xf>
    <xf numFmtId="0" fontId="0" fillId="36" borderId="18" xfId="0" applyFill="1" applyBorder="1" applyAlignment="1" applyProtection="1">
      <alignment wrapText="1"/>
      <protection locked="0"/>
    </xf>
    <xf numFmtId="0" fontId="0" fillId="36" borderId="29" xfId="0" applyFill="1" applyBorder="1" applyAlignment="1" applyProtection="1">
      <alignment wrapText="1"/>
      <protection locked="0"/>
    </xf>
    <xf numFmtId="0" fontId="0" fillId="36" borderId="12" xfId="0" applyFill="1" applyBorder="1" applyAlignment="1" applyProtection="1">
      <alignment horizontal="center" wrapText="1"/>
      <protection locked="0"/>
    </xf>
    <xf numFmtId="0" fontId="0" fillId="36" borderId="14" xfId="0" applyFill="1" applyBorder="1" applyAlignment="1" applyProtection="1">
      <alignment horizontal="center" wrapText="1"/>
      <protection locked="0"/>
    </xf>
    <xf numFmtId="0" fontId="0" fillId="36" borderId="19" xfId="0" applyFill="1" applyBorder="1" applyAlignment="1" applyProtection="1">
      <alignment wrapText="1"/>
      <protection locked="0"/>
    </xf>
    <xf numFmtId="0" fontId="16" fillId="0" borderId="0" xfId="0" applyFont="1" applyProtection="1">
      <protection locked="0"/>
    </xf>
    <xf numFmtId="0" fontId="0" fillId="36" borderId="36" xfId="0" applyFill="1" applyBorder="1" applyProtection="1">
      <protection locked="0"/>
    </xf>
    <xf numFmtId="0" fontId="0" fillId="0" borderId="19" xfId="0" applyBorder="1" applyProtection="1">
      <protection locked="0"/>
    </xf>
    <xf numFmtId="0" fontId="0" fillId="36" borderId="32" xfId="0" applyFill="1" applyBorder="1" applyProtection="1">
      <protection locked="0"/>
    </xf>
    <xf numFmtId="164" fontId="0" fillId="33" borderId="40" xfId="0" applyNumberFormat="1" applyFill="1" applyBorder="1" applyAlignment="1" applyProtection="1">
      <alignment horizontal="center"/>
      <protection locked="0"/>
    </xf>
    <xf numFmtId="0" fontId="0" fillId="36" borderId="34" xfId="0" applyFill="1" applyBorder="1" applyProtection="1">
      <protection locked="0"/>
    </xf>
    <xf numFmtId="0" fontId="0" fillId="0" borderId="36" xfId="0" applyBorder="1" applyAlignment="1" applyProtection="1">
      <alignment horizontal="left" vertical="center"/>
      <protection locked="0"/>
    </xf>
    <xf numFmtId="0" fontId="0" fillId="0" borderId="0" xfId="0" quotePrefix="1" applyProtection="1">
      <protection locked="0"/>
    </xf>
    <xf numFmtId="164" fontId="0" fillId="36" borderId="0" xfId="0" applyNumberFormat="1" applyFill="1" applyAlignment="1" applyProtection="1">
      <alignment horizontal="center"/>
      <protection locked="0"/>
    </xf>
    <xf numFmtId="0" fontId="0" fillId="0" borderId="32" xfId="0" applyBorder="1" applyAlignment="1" applyProtection="1">
      <alignment horizontal="left" vertical="center"/>
      <protection locked="0"/>
    </xf>
    <xf numFmtId="164" fontId="0" fillId="36" borderId="0" xfId="0" applyNumberFormat="1" applyFill="1" applyProtection="1">
      <protection locked="0"/>
    </xf>
    <xf numFmtId="0" fontId="0" fillId="36" borderId="18" xfId="0" applyFill="1" applyBorder="1" applyAlignment="1" applyProtection="1">
      <alignment horizontal="right"/>
      <protection locked="0"/>
      <extLst>
        <ext xmlns:xfpb="http://schemas.microsoft.com/office/spreadsheetml/2022/featurepropertybag" uri="{C7286773-470A-42A8-94C5-96B5CB345126}">
          <xfpb:xfComplement i="0"/>
        </ext>
      </extLst>
    </xf>
    <xf numFmtId="164" fontId="0" fillId="36" borderId="23" xfId="0" applyNumberFormat="1" applyFill="1" applyBorder="1" applyProtection="1">
      <protection locked="0"/>
    </xf>
    <xf numFmtId="164" fontId="0" fillId="33" borderId="29" xfId="0" applyNumberFormat="1" applyFill="1" applyBorder="1" applyAlignment="1" applyProtection="1">
      <alignment horizontal="center"/>
      <protection locked="0"/>
    </xf>
    <xf numFmtId="0" fontId="22" fillId="36" borderId="18" xfId="0" applyFont="1" applyFill="1" applyBorder="1" applyAlignment="1" applyProtection="1">
      <alignment horizontal="right" vertical="center"/>
      <protection locked="0"/>
    </xf>
    <xf numFmtId="0" fontId="0" fillId="36" borderId="19" xfId="0" applyFill="1" applyBorder="1" applyAlignment="1" applyProtection="1">
      <alignment horizontal="left"/>
      <protection locked="0"/>
    </xf>
    <xf numFmtId="0" fontId="0" fillId="36" borderId="21" xfId="0" applyFill="1" applyBorder="1" applyAlignment="1" applyProtection="1">
      <alignment horizontal="center"/>
      <protection locked="0"/>
    </xf>
    <xf numFmtId="0" fontId="22" fillId="36" borderId="0" xfId="0" applyFont="1" applyFill="1" applyAlignment="1" applyProtection="1">
      <alignment horizontal="right" vertical="top"/>
      <protection locked="0"/>
    </xf>
    <xf numFmtId="0" fontId="0" fillId="36" borderId="0" xfId="0" applyFill="1" applyAlignment="1" applyProtection="1">
      <alignment vertical="top" wrapText="1"/>
      <protection locked="0"/>
    </xf>
    <xf numFmtId="0" fontId="0" fillId="36" borderId="0" xfId="0" applyFill="1" applyAlignment="1" applyProtection="1">
      <alignment vertical="top"/>
      <protection locked="0"/>
    </xf>
    <xf numFmtId="0" fontId="0" fillId="0" borderId="34" xfId="0" applyBorder="1" applyAlignment="1" applyProtection="1">
      <alignment horizontal="left" vertical="center"/>
      <protection locked="0"/>
    </xf>
    <xf numFmtId="0" fontId="0" fillId="36" borderId="21" xfId="0" applyFill="1" applyBorder="1" applyAlignment="1" applyProtection="1">
      <alignment horizontal="left" vertical="center"/>
      <protection locked="0"/>
    </xf>
    <xf numFmtId="3" fontId="18" fillId="42" borderId="36" xfId="0" applyNumberFormat="1" applyFont="1" applyFill="1" applyBorder="1" applyAlignment="1">
      <alignment horizontal="center" vertical="center"/>
    </xf>
    <xf numFmtId="3" fontId="18" fillId="42" borderId="32" xfId="0" applyNumberFormat="1" applyFont="1" applyFill="1" applyBorder="1" applyAlignment="1">
      <alignment horizontal="center" vertical="center"/>
    </xf>
    <xf numFmtId="3" fontId="18" fillId="42" borderId="34" xfId="0" applyNumberFormat="1" applyFont="1" applyFill="1" applyBorder="1" applyAlignment="1">
      <alignment horizontal="center" vertical="center"/>
    </xf>
    <xf numFmtId="0" fontId="0" fillId="0" borderId="15" xfId="0" applyBorder="1" applyAlignment="1">
      <alignment horizontal="center" wrapText="1"/>
    </xf>
    <xf numFmtId="0" fontId="0" fillId="0" borderId="16" xfId="0" applyBorder="1" applyAlignment="1">
      <alignment horizontal="center" wrapText="1"/>
    </xf>
    <xf numFmtId="0" fontId="0" fillId="0" borderId="17" xfId="0" applyBorder="1" applyAlignment="1">
      <alignment horizontal="center" wrapText="1"/>
    </xf>
    <xf numFmtId="0" fontId="0" fillId="0" borderId="18" xfId="0" applyBorder="1" applyAlignment="1">
      <alignment wrapText="1"/>
    </xf>
    <xf numFmtId="0" fontId="0" fillId="0" borderId="0" xfId="0" applyAlignment="1">
      <alignment wrapText="1"/>
    </xf>
    <xf numFmtId="0" fontId="0" fillId="0" borderId="19" xfId="0" applyBorder="1" applyAlignment="1">
      <alignment wrapText="1"/>
    </xf>
    <xf numFmtId="0" fontId="0" fillId="0" borderId="18" xfId="0" applyBorder="1"/>
    <xf numFmtId="0" fontId="0" fillId="37" borderId="19" xfId="0" applyFill="1" applyBorder="1"/>
    <xf numFmtId="0" fontId="0" fillId="0" borderId="19" xfId="0" applyBorder="1"/>
    <xf numFmtId="0" fontId="0" fillId="0" borderId="20" xfId="0" applyBorder="1"/>
    <xf numFmtId="14" fontId="0" fillId="0" borderId="21" xfId="0" applyNumberFormat="1" applyBorder="1"/>
    <xf numFmtId="0" fontId="0" fillId="37" borderId="22" xfId="0" applyFill="1" applyBorder="1"/>
    <xf numFmtId="0" fontId="28" fillId="34" borderId="24" xfId="0" applyFont="1" applyFill="1" applyBorder="1" applyAlignment="1" applyProtection="1">
      <alignment horizontal="center" vertical="center"/>
      <protection locked="0"/>
    </xf>
    <xf numFmtId="0" fontId="16" fillId="0" borderId="16" xfId="0" applyFont="1" applyBorder="1" applyAlignment="1" applyProtection="1">
      <alignment horizontal="center" vertical="center" wrapText="1"/>
      <protection locked="0"/>
    </xf>
    <xf numFmtId="0" fontId="25" fillId="34" borderId="16" xfId="0" applyFont="1" applyFill="1" applyBorder="1" applyAlignment="1" applyProtection="1">
      <alignment horizontal="center" vertical="center" wrapText="1"/>
      <protection locked="0"/>
    </xf>
    <xf numFmtId="0" fontId="0" fillId="34" borderId="0" xfId="0" applyFill="1" applyAlignment="1" applyProtection="1">
      <alignment wrapText="1"/>
      <protection locked="0"/>
    </xf>
    <xf numFmtId="0" fontId="0" fillId="0" borderId="12" xfId="0" applyBorder="1" applyAlignment="1" applyProtection="1">
      <alignment horizontal="center" wrapText="1"/>
      <protection locked="0"/>
    </xf>
    <xf numFmtId="0" fontId="0" fillId="0" borderId="13" xfId="0" applyBorder="1" applyAlignment="1" applyProtection="1">
      <alignment horizontal="right" wrapText="1"/>
      <protection locked="0"/>
    </xf>
    <xf numFmtId="0" fontId="0" fillId="0" borderId="13" xfId="0" applyBorder="1" applyAlignment="1" applyProtection="1">
      <alignment horizontal="center" wrapText="1"/>
      <protection locked="0"/>
    </xf>
    <xf numFmtId="0" fontId="0" fillId="0" borderId="25" xfId="0" applyBorder="1" applyAlignment="1" applyProtection="1">
      <alignment horizontal="center" wrapText="1"/>
      <protection locked="0"/>
    </xf>
    <xf numFmtId="0" fontId="19" fillId="36" borderId="12" xfId="0" applyFont="1" applyFill="1" applyBorder="1" applyAlignment="1" applyProtection="1">
      <alignment horizontal="center" vertical="center" wrapText="1"/>
      <protection locked="0"/>
    </xf>
    <xf numFmtId="0" fontId="25" fillId="36" borderId="13" xfId="0" applyFont="1" applyFill="1" applyBorder="1" applyAlignment="1" applyProtection="1">
      <alignment horizontal="center" vertical="center" wrapText="1"/>
      <protection locked="0"/>
    </xf>
    <xf numFmtId="0" fontId="47" fillId="36" borderId="14" xfId="0" applyFont="1" applyFill="1" applyBorder="1" applyAlignment="1" applyProtection="1">
      <alignment horizontal="center" vertical="center" wrapText="1"/>
      <protection locked="0"/>
    </xf>
    <xf numFmtId="0" fontId="25" fillId="34" borderId="21" xfId="0" applyFont="1" applyFill="1" applyBorder="1" applyAlignment="1" applyProtection="1">
      <alignment horizontal="center" vertical="center" wrapText="1"/>
      <protection locked="0"/>
    </xf>
    <xf numFmtId="0" fontId="0" fillId="34" borderId="0" xfId="0" applyFill="1" applyProtection="1">
      <protection locked="0"/>
    </xf>
    <xf numFmtId="0" fontId="16" fillId="0" borderId="10" xfId="0" applyFont="1" applyBorder="1" applyAlignment="1" applyProtection="1">
      <alignment horizontal="center"/>
      <protection locked="0"/>
    </xf>
    <xf numFmtId="0" fontId="19" fillId="0" borderId="10" xfId="0" applyFont="1" applyBorder="1" applyAlignment="1" applyProtection="1">
      <alignment horizontal="center"/>
      <protection locked="0"/>
    </xf>
    <xf numFmtId="0" fontId="26" fillId="0" borderId="10" xfId="0" applyFont="1" applyBorder="1" applyAlignment="1" applyProtection="1">
      <alignment horizontal="center"/>
      <protection locked="0"/>
    </xf>
    <xf numFmtId="0" fontId="47" fillId="0" borderId="10" xfId="0" applyFont="1" applyBorder="1" applyAlignment="1" applyProtection="1">
      <alignment horizontal="center"/>
      <protection locked="0"/>
    </xf>
    <xf numFmtId="0" fontId="16" fillId="0" borderId="10" xfId="0" applyFont="1" applyBorder="1" applyProtection="1">
      <protection locked="0"/>
    </xf>
    <xf numFmtId="0" fontId="0" fillId="33" borderId="44" xfId="0" applyFill="1" applyBorder="1" applyAlignment="1" applyProtection="1">
      <alignment horizontal="center"/>
      <protection locked="0"/>
    </xf>
    <xf numFmtId="14" fontId="0" fillId="33" borderId="27" xfId="0" applyNumberFormat="1" applyFill="1" applyBorder="1" applyAlignment="1" applyProtection="1">
      <alignment horizontal="right"/>
      <protection locked="0"/>
    </xf>
    <xf numFmtId="0" fontId="0" fillId="33" borderId="27" xfId="0" applyFill="1" applyBorder="1" applyAlignment="1" applyProtection="1">
      <alignment horizontal="center"/>
      <protection locked="0"/>
    </xf>
    <xf numFmtId="0" fontId="0" fillId="33" borderId="74" xfId="0" applyFill="1" applyBorder="1" applyAlignment="1" applyProtection="1">
      <alignment horizontal="center"/>
      <protection locked="0"/>
    </xf>
    <xf numFmtId="0" fontId="0" fillId="33" borderId="27" xfId="0" applyFill="1" applyBorder="1" applyProtection="1">
      <protection locked="0"/>
    </xf>
    <xf numFmtId="0" fontId="0" fillId="33" borderId="55" xfId="0" applyFill="1" applyBorder="1" applyProtection="1">
      <protection locked="0"/>
    </xf>
    <xf numFmtId="0" fontId="19" fillId="33" borderId="44" xfId="0" applyFont="1" applyFill="1" applyBorder="1" applyAlignment="1" applyProtection="1">
      <alignment horizontal="center"/>
      <protection locked="0"/>
    </xf>
    <xf numFmtId="0" fontId="25" fillId="33" borderId="27" xfId="0" applyFont="1" applyFill="1" applyBorder="1" applyAlignment="1" applyProtection="1">
      <alignment horizontal="center"/>
      <protection locked="0"/>
    </xf>
    <xf numFmtId="0" fontId="47" fillId="33" borderId="74" xfId="0" applyFont="1" applyFill="1" applyBorder="1" applyAlignment="1" applyProtection="1">
      <alignment horizontal="center"/>
      <protection locked="0"/>
    </xf>
    <xf numFmtId="0" fontId="25" fillId="34" borderId="0" xfId="0" applyFont="1" applyFill="1" applyAlignment="1" applyProtection="1">
      <alignment horizontal="center"/>
      <protection locked="0"/>
    </xf>
    <xf numFmtId="0" fontId="0" fillId="0" borderId="10" xfId="0" applyBorder="1" applyProtection="1">
      <protection locked="0"/>
    </xf>
    <xf numFmtId="0" fontId="0" fillId="33" borderId="39" xfId="0" applyFill="1" applyBorder="1" applyAlignment="1" applyProtection="1">
      <alignment horizontal="center"/>
      <protection locked="0"/>
    </xf>
    <xf numFmtId="14" fontId="0" fillId="33" borderId="10" xfId="0" applyNumberFormat="1" applyFill="1" applyBorder="1" applyAlignment="1" applyProtection="1">
      <alignment horizontal="right"/>
      <protection locked="0"/>
    </xf>
    <xf numFmtId="0" fontId="0" fillId="33" borderId="10" xfId="0" applyFill="1" applyBorder="1" applyAlignment="1" applyProtection="1">
      <alignment horizontal="center"/>
      <protection locked="0"/>
    </xf>
    <xf numFmtId="0" fontId="0" fillId="33" borderId="40" xfId="0" applyFill="1" applyBorder="1" applyAlignment="1" applyProtection="1">
      <alignment horizontal="center"/>
      <protection locked="0"/>
    </xf>
    <xf numFmtId="0" fontId="0" fillId="33" borderId="10" xfId="0" applyFill="1" applyBorder="1" applyProtection="1">
      <protection locked="0"/>
    </xf>
    <xf numFmtId="0" fontId="0" fillId="33" borderId="26" xfId="0" applyFill="1" applyBorder="1" applyProtection="1">
      <protection locked="0"/>
    </xf>
    <xf numFmtId="0" fontId="25" fillId="33" borderId="10" xfId="0" applyFont="1" applyFill="1" applyBorder="1" applyAlignment="1" applyProtection="1">
      <alignment horizontal="center"/>
      <protection locked="0"/>
    </xf>
    <xf numFmtId="0" fontId="47" fillId="33" borderId="40" xfId="0" applyFont="1" applyFill="1" applyBorder="1" applyAlignment="1" applyProtection="1">
      <alignment horizontal="center"/>
      <protection locked="0"/>
    </xf>
    <xf numFmtId="0" fontId="22" fillId="36" borderId="54" xfId="0" applyFont="1" applyFill="1" applyBorder="1" applyAlignment="1" applyProtection="1">
      <alignment horizontal="right" vertical="top"/>
      <protection locked="0"/>
    </xf>
    <xf numFmtId="0" fontId="0" fillId="33" borderId="62" xfId="0" applyFill="1" applyBorder="1" applyProtection="1">
      <protection locked="0"/>
    </xf>
    <xf numFmtId="0" fontId="19" fillId="33" borderId="39" xfId="0" applyFont="1" applyFill="1" applyBorder="1" applyAlignment="1" applyProtection="1">
      <alignment horizontal="center"/>
      <protection locked="0"/>
    </xf>
    <xf numFmtId="0" fontId="0" fillId="36" borderId="54" xfId="0" applyFill="1" applyBorder="1" applyAlignment="1" applyProtection="1">
      <alignment vertical="top" wrapText="1"/>
      <protection locked="0"/>
    </xf>
    <xf numFmtId="0" fontId="0" fillId="36" borderId="54" xfId="0" applyFill="1" applyBorder="1" applyAlignment="1" applyProtection="1">
      <alignment vertical="top"/>
      <protection locked="0"/>
    </xf>
    <xf numFmtId="0" fontId="0" fillId="0" borderId="54" xfId="0" applyBorder="1" applyProtection="1">
      <protection locked="0"/>
    </xf>
    <xf numFmtId="0" fontId="0" fillId="36" borderId="52" xfId="0" applyFill="1" applyBorder="1" applyProtection="1">
      <protection locked="0"/>
    </xf>
    <xf numFmtId="0" fontId="0" fillId="33" borderId="41" xfId="0" applyFill="1" applyBorder="1" applyAlignment="1" applyProtection="1">
      <alignment horizontal="center"/>
      <protection locked="0"/>
    </xf>
    <xf numFmtId="14" fontId="0" fillId="33" borderId="43" xfId="0" applyNumberFormat="1" applyFill="1" applyBorder="1" applyAlignment="1" applyProtection="1">
      <alignment horizontal="right"/>
      <protection locked="0"/>
    </xf>
    <xf numFmtId="0" fontId="0" fillId="33" borderId="43" xfId="0" applyFill="1" applyBorder="1" applyAlignment="1" applyProtection="1">
      <alignment horizontal="center"/>
      <protection locked="0"/>
    </xf>
    <xf numFmtId="0" fontId="0" fillId="33" borderId="42" xfId="0" applyFill="1" applyBorder="1" applyAlignment="1" applyProtection="1">
      <alignment horizontal="center"/>
      <protection locked="0"/>
    </xf>
    <xf numFmtId="0" fontId="19" fillId="33" borderId="41" xfId="0" applyFont="1" applyFill="1" applyBorder="1" applyAlignment="1" applyProtection="1">
      <alignment horizontal="center"/>
      <protection locked="0"/>
    </xf>
    <xf numFmtId="0" fontId="25" fillId="33" borderId="43" xfId="0" applyFont="1" applyFill="1" applyBorder="1" applyAlignment="1" applyProtection="1">
      <alignment horizontal="center"/>
      <protection locked="0"/>
    </xf>
    <xf numFmtId="0" fontId="47" fillId="33" borderId="42" xfId="0" applyFont="1" applyFill="1" applyBorder="1" applyAlignment="1" applyProtection="1">
      <alignment horizontal="center"/>
      <protection locked="0"/>
    </xf>
    <xf numFmtId="0" fontId="0" fillId="40" borderId="0" xfId="0" applyFill="1" applyAlignment="1" applyProtection="1">
      <alignment horizontal="center"/>
      <protection locked="0"/>
    </xf>
    <xf numFmtId="14" fontId="0" fillId="40" borderId="0" xfId="0" applyNumberFormat="1" applyFill="1" applyAlignment="1" applyProtection="1">
      <alignment horizontal="right"/>
      <protection locked="0"/>
    </xf>
    <xf numFmtId="0" fontId="19" fillId="40" borderId="0" xfId="0" applyFont="1" applyFill="1" applyAlignment="1" applyProtection="1">
      <alignment horizontal="center"/>
      <protection locked="0"/>
    </xf>
    <xf numFmtId="0" fontId="25" fillId="40" borderId="0" xfId="0" applyFont="1" applyFill="1" applyAlignment="1" applyProtection="1">
      <alignment horizontal="center"/>
      <protection locked="0"/>
    </xf>
    <xf numFmtId="0" fontId="47" fillId="40" borderId="0" xfId="0" applyFont="1" applyFill="1" applyAlignment="1" applyProtection="1">
      <alignment horizontal="center"/>
      <protection locked="0"/>
    </xf>
    <xf numFmtId="0" fontId="0" fillId="40" borderId="0" xfId="0" applyFill="1" applyProtection="1">
      <protection locked="0"/>
    </xf>
    <xf numFmtId="14" fontId="0" fillId="0" borderId="0" xfId="0" applyNumberFormat="1" applyAlignment="1" applyProtection="1">
      <alignment horizontal="right"/>
      <protection locked="0"/>
    </xf>
    <xf numFmtId="0" fontId="19" fillId="0" borderId="0" xfId="0" applyFont="1" applyAlignment="1" applyProtection="1">
      <alignment horizontal="center"/>
      <protection locked="0"/>
    </xf>
    <xf numFmtId="0" fontId="25" fillId="0" borderId="0" xfId="0" applyFont="1" applyAlignment="1" applyProtection="1">
      <alignment horizontal="center"/>
      <protection locked="0"/>
    </xf>
    <xf numFmtId="0" fontId="47" fillId="0" borderId="0" xfId="0" applyFont="1" applyAlignment="1" applyProtection="1">
      <alignment horizontal="center"/>
      <protection locked="0"/>
    </xf>
    <xf numFmtId="0" fontId="16" fillId="42" borderId="10" xfId="0" applyFont="1" applyFill="1" applyBorder="1" applyAlignment="1">
      <alignment horizontal="center"/>
    </xf>
    <xf numFmtId="0" fontId="19" fillId="42" borderId="10" xfId="0" applyFont="1" applyFill="1" applyBorder="1" applyAlignment="1">
      <alignment horizontal="center"/>
    </xf>
    <xf numFmtId="0" fontId="26" fillId="42" borderId="10" xfId="0" applyFont="1" applyFill="1" applyBorder="1" applyAlignment="1">
      <alignment horizontal="center"/>
    </xf>
    <xf numFmtId="0" fontId="47" fillId="42" borderId="10" xfId="0" applyFont="1" applyFill="1" applyBorder="1" applyAlignment="1">
      <alignment horizontal="center"/>
    </xf>
    <xf numFmtId="0" fontId="23" fillId="42" borderId="10" xfId="0" applyFont="1" applyFill="1" applyBorder="1" applyAlignment="1">
      <alignment horizontal="center"/>
    </xf>
    <xf numFmtId="2" fontId="16" fillId="42" borderId="10" xfId="0" applyNumberFormat="1" applyFont="1" applyFill="1" applyBorder="1" applyAlignment="1">
      <alignment horizontal="center"/>
    </xf>
    <xf numFmtId="2" fontId="19" fillId="42" borderId="10" xfId="0" applyNumberFormat="1" applyFont="1" applyFill="1" applyBorder="1" applyAlignment="1">
      <alignment horizontal="center"/>
    </xf>
    <xf numFmtId="2" fontId="26" fillId="42" borderId="10" xfId="0" applyNumberFormat="1" applyFont="1" applyFill="1" applyBorder="1" applyAlignment="1">
      <alignment horizontal="center"/>
    </xf>
    <xf numFmtId="2" fontId="47" fillId="42" borderId="10" xfId="0" applyNumberFormat="1" applyFont="1" applyFill="1" applyBorder="1" applyAlignment="1">
      <alignment horizontal="center"/>
    </xf>
    <xf numFmtId="2" fontId="23" fillId="42" borderId="10" xfId="0" applyNumberFormat="1" applyFont="1" applyFill="1" applyBorder="1" applyAlignment="1">
      <alignment horizontal="center"/>
    </xf>
    <xf numFmtId="0" fontId="0" fillId="40" borderId="0" xfId="0" applyFill="1"/>
    <xf numFmtId="14" fontId="0" fillId="0" borderId="0" xfId="0" applyNumberFormat="1" applyProtection="1">
      <protection locked="0"/>
    </xf>
    <xf numFmtId="0" fontId="26" fillId="0" borderId="0" xfId="0" applyFont="1" applyAlignment="1" applyProtection="1">
      <alignment horizontal="center"/>
      <protection locked="0"/>
    </xf>
    <xf numFmtId="0" fontId="47" fillId="42" borderId="0" xfId="0" applyFont="1" applyFill="1" applyAlignment="1">
      <alignment horizontal="center"/>
    </xf>
    <xf numFmtId="0" fontId="47" fillId="42" borderId="19" xfId="0" applyFont="1" applyFill="1" applyBorder="1" applyAlignment="1">
      <alignment horizontal="center"/>
    </xf>
    <xf numFmtId="0" fontId="47" fillId="42" borderId="30" xfId="0" applyFont="1" applyFill="1" applyBorder="1" applyAlignment="1">
      <alignment horizontal="center"/>
    </xf>
    <xf numFmtId="0" fontId="47" fillId="42" borderId="65" xfId="0" applyFont="1" applyFill="1" applyBorder="1" applyAlignment="1">
      <alignment horizontal="center"/>
    </xf>
    <xf numFmtId="0" fontId="0" fillId="0" borderId="37" xfId="0" applyBorder="1" applyAlignment="1" applyProtection="1">
      <alignment horizontal="right" vertical="top"/>
      <protection locked="0"/>
    </xf>
    <xf numFmtId="0" fontId="0" fillId="0" borderId="28" xfId="0" applyBorder="1" applyAlignment="1" applyProtection="1">
      <alignment vertical="top"/>
      <protection locked="0"/>
    </xf>
    <xf numFmtId="0" fontId="0" fillId="0" borderId="37" xfId="0" applyBorder="1" applyProtection="1">
      <protection locked="0"/>
    </xf>
    <xf numFmtId="0" fontId="0" fillId="0" borderId="39" xfId="0" applyBorder="1" applyAlignment="1" applyProtection="1">
      <alignment horizontal="right" vertical="top"/>
      <protection locked="0"/>
    </xf>
    <xf numFmtId="0" fontId="0" fillId="0" borderId="39" xfId="0" applyBorder="1" applyProtection="1">
      <protection locked="0"/>
    </xf>
    <xf numFmtId="0" fontId="0" fillId="0" borderId="15" xfId="0" applyBorder="1" applyProtection="1">
      <protection locked="0"/>
      <extLst>
        <ext xmlns:xfpb="http://schemas.microsoft.com/office/spreadsheetml/2022/featurepropertybag" uri="{C7286773-470A-42A8-94C5-96B5CB345126}">
          <xfpb:xfComplement i="0"/>
        </ext>
      </extLst>
    </xf>
    <xf numFmtId="0" fontId="0" fillId="0" borderId="17" xfId="0" applyBorder="1" applyProtection="1">
      <protection locked="0"/>
    </xf>
    <xf numFmtId="0" fontId="32" fillId="33" borderId="39" xfId="0" applyFont="1" applyFill="1" applyBorder="1" applyAlignment="1" applyProtection="1">
      <alignment horizontal="left" vertical="center"/>
      <protection locked="0"/>
    </xf>
    <xf numFmtId="0" fontId="0" fillId="0" borderId="18" xfId="0" applyBorder="1" applyProtection="1">
      <protection locked="0"/>
      <extLst>
        <ext xmlns:xfpb="http://schemas.microsoft.com/office/spreadsheetml/2022/featurepropertybag" uri="{C7286773-470A-42A8-94C5-96B5CB345126}">
          <xfpb:xfComplement i="0"/>
        </ext>
      </extLst>
    </xf>
    <xf numFmtId="0" fontId="32" fillId="33" borderId="10" xfId="0" applyFont="1" applyFill="1" applyBorder="1" applyAlignment="1" applyProtection="1">
      <alignment horizontal="center" vertical="center"/>
      <protection locked="0"/>
    </xf>
    <xf numFmtId="0" fontId="32" fillId="36" borderId="10" xfId="0" applyFont="1" applyFill="1" applyBorder="1" applyAlignment="1" applyProtection="1">
      <alignment vertical="center"/>
      <protection locked="0"/>
    </xf>
    <xf numFmtId="0" fontId="0" fillId="0" borderId="20" xfId="0" applyBorder="1" applyProtection="1">
      <protection locked="0"/>
      <extLst>
        <ext xmlns:xfpb="http://schemas.microsoft.com/office/spreadsheetml/2022/featurepropertybag" uri="{C7286773-470A-42A8-94C5-96B5CB345126}">
          <xfpb:xfComplement i="0"/>
        </ext>
      </extLst>
    </xf>
    <xf numFmtId="0" fontId="0" fillId="0" borderId="22" xfId="0" applyBorder="1" applyProtection="1">
      <protection locked="0"/>
    </xf>
    <xf numFmtId="0" fontId="0" fillId="0" borderId="41" xfId="0" applyBorder="1" applyProtection="1">
      <protection locked="0"/>
    </xf>
    <xf numFmtId="0" fontId="32" fillId="33" borderId="41" xfId="0" applyFont="1" applyFill="1" applyBorder="1" applyAlignment="1" applyProtection="1">
      <alignment horizontal="left" vertical="center"/>
      <protection locked="0"/>
    </xf>
    <xf numFmtId="0" fontId="32" fillId="33" borderId="43" xfId="0" applyFont="1" applyFill="1" applyBorder="1" applyAlignment="1" applyProtection="1">
      <alignment horizontal="center" vertical="center"/>
      <protection locked="0"/>
    </xf>
    <xf numFmtId="0" fontId="0" fillId="0" borderId="0" xfId="0" applyAlignment="1" applyProtection="1">
      <alignment horizontal="left" wrapText="1"/>
      <protection locked="0"/>
    </xf>
    <xf numFmtId="0" fontId="0" fillId="0" borderId="12" xfId="0" applyBorder="1" applyProtection="1">
      <protection locked="0"/>
    </xf>
    <xf numFmtId="0" fontId="0" fillId="0" borderId="40" xfId="0" applyBorder="1" applyAlignment="1" applyProtection="1">
      <alignment horizontal="left" vertical="top"/>
      <protection locked="0"/>
    </xf>
    <xf numFmtId="0" fontId="0" fillId="33" borderId="28" xfId="0" applyFill="1" applyBorder="1" applyProtection="1">
      <protection locked="0"/>
    </xf>
    <xf numFmtId="0" fontId="31" fillId="0" borderId="0" xfId="0" applyFont="1" applyAlignment="1" applyProtection="1">
      <alignment vertical="center"/>
      <protection locked="0"/>
    </xf>
    <xf numFmtId="0" fontId="31" fillId="0" borderId="10" xfId="0" applyFont="1" applyBorder="1" applyAlignment="1" applyProtection="1">
      <alignment horizontal="center" vertical="center"/>
      <protection locked="0"/>
    </xf>
    <xf numFmtId="0" fontId="0" fillId="33" borderId="40" xfId="0" applyFill="1" applyBorder="1" applyProtection="1">
      <protection locked="0"/>
    </xf>
    <xf numFmtId="0" fontId="31" fillId="0" borderId="10" xfId="0" applyFont="1" applyBorder="1" applyAlignment="1" applyProtection="1">
      <alignment vertical="center"/>
      <protection locked="0"/>
    </xf>
    <xf numFmtId="0" fontId="31" fillId="36" borderId="10" xfId="0" applyFont="1" applyFill="1" applyBorder="1" applyAlignment="1" applyProtection="1">
      <alignment vertical="center"/>
      <protection locked="0"/>
    </xf>
    <xf numFmtId="0" fontId="32" fillId="35" borderId="10" xfId="0" applyFont="1" applyFill="1" applyBorder="1" applyAlignment="1" applyProtection="1">
      <alignment vertical="center"/>
      <protection locked="0"/>
    </xf>
    <xf numFmtId="0" fontId="31" fillId="0" borderId="10" xfId="0" applyFont="1" applyBorder="1" applyProtection="1">
      <protection locked="0"/>
    </xf>
    <xf numFmtId="0" fontId="0" fillId="0" borderId="0" xfId="0" applyAlignment="1" applyProtection="1">
      <alignment vertical="top"/>
      <protection locked="0"/>
    </xf>
    <xf numFmtId="0" fontId="32" fillId="42" borderId="45" xfId="0" applyFont="1" applyFill="1" applyBorder="1" applyAlignment="1">
      <alignment horizontal="left" vertical="center"/>
    </xf>
    <xf numFmtId="0" fontId="32" fillId="42" borderId="38" xfId="0" applyFont="1" applyFill="1" applyBorder="1" applyAlignment="1">
      <alignment horizontal="center" vertical="center"/>
    </xf>
    <xf numFmtId="10" fontId="32" fillId="42" borderId="28" xfId="0" quotePrefix="1" applyNumberFormat="1" applyFont="1" applyFill="1" applyBorder="1" applyAlignment="1">
      <alignment horizontal="center" vertical="center"/>
    </xf>
    <xf numFmtId="0" fontId="32" fillId="42" borderId="92" xfId="0" applyFont="1" applyFill="1" applyBorder="1" applyAlignment="1">
      <alignment horizontal="left" vertical="center"/>
    </xf>
    <xf numFmtId="0" fontId="32" fillId="42" borderId="10" xfId="0" applyFont="1" applyFill="1" applyBorder="1" applyAlignment="1">
      <alignment horizontal="center" vertical="center"/>
    </xf>
    <xf numFmtId="10" fontId="32" fillId="42" borderId="40" xfId="0" quotePrefix="1" applyNumberFormat="1" applyFont="1" applyFill="1" applyBorder="1" applyAlignment="1">
      <alignment horizontal="center" vertical="center"/>
    </xf>
    <xf numFmtId="0" fontId="32" fillId="42" borderId="60" xfId="0" applyFont="1" applyFill="1" applyBorder="1" applyAlignment="1">
      <alignment horizontal="left" vertical="center"/>
    </xf>
    <xf numFmtId="0" fontId="32" fillId="42" borderId="43" xfId="0" applyFont="1" applyFill="1" applyBorder="1" applyAlignment="1">
      <alignment horizontal="center" vertical="center"/>
    </xf>
    <xf numFmtId="10" fontId="32" fillId="42" borderId="42" xfId="0" quotePrefix="1" applyNumberFormat="1" applyFont="1" applyFill="1" applyBorder="1" applyAlignment="1">
      <alignment horizontal="center" vertical="center"/>
    </xf>
    <xf numFmtId="14" fontId="31" fillId="42" borderId="10" xfId="0" applyNumberFormat="1" applyFont="1" applyFill="1" applyBorder="1" applyAlignment="1">
      <alignment horizontal="center" vertical="center"/>
    </xf>
    <xf numFmtId="0" fontId="31" fillId="42" borderId="10" xfId="0" applyFont="1" applyFill="1" applyBorder="1" applyAlignment="1">
      <alignment horizontal="center" vertical="center"/>
    </xf>
    <xf numFmtId="0" fontId="32" fillId="35" borderId="10" xfId="0" applyFont="1" applyFill="1" applyBorder="1" applyAlignment="1">
      <alignment horizontal="center" vertical="center"/>
    </xf>
    <xf numFmtId="2" fontId="32" fillId="35" borderId="10" xfId="0" applyNumberFormat="1" applyFont="1" applyFill="1" applyBorder="1" applyAlignment="1">
      <alignment horizontal="center" vertical="center"/>
    </xf>
    <xf numFmtId="2" fontId="31" fillId="42" borderId="10" xfId="0" applyNumberFormat="1" applyFont="1" applyFill="1" applyBorder="1" applyAlignment="1">
      <alignment horizontal="center"/>
    </xf>
    <xf numFmtId="0" fontId="28" fillId="38" borderId="23" xfId="0" applyFont="1" applyFill="1" applyBorder="1" applyAlignment="1">
      <alignment vertical="center"/>
    </xf>
    <xf numFmtId="0" fontId="28" fillId="38" borderId="24" xfId="0" applyFont="1" applyFill="1" applyBorder="1" applyAlignment="1">
      <alignment vertical="center"/>
    </xf>
    <xf numFmtId="0" fontId="28" fillId="38" borderId="25" xfId="0" applyFont="1" applyFill="1" applyBorder="1" applyAlignment="1">
      <alignment vertical="center"/>
    </xf>
    <xf numFmtId="0" fontId="19" fillId="0" borderId="10" xfId="0" applyFont="1" applyBorder="1" applyAlignment="1">
      <alignment horizontal="center"/>
    </xf>
    <xf numFmtId="0" fontId="25" fillId="0" borderId="10" xfId="0" applyFont="1" applyBorder="1" applyAlignment="1">
      <alignment horizontal="center"/>
    </xf>
    <xf numFmtId="0" fontId="47" fillId="0" borderId="10" xfId="0" applyFont="1" applyBorder="1" applyAlignment="1">
      <alignment horizontal="center"/>
    </xf>
    <xf numFmtId="0" fontId="16" fillId="0" borderId="10" xfId="0" applyFont="1" applyBorder="1"/>
    <xf numFmtId="0" fontId="35" fillId="36" borderId="66" xfId="0" applyFont="1" applyFill="1" applyBorder="1" applyAlignment="1">
      <alignment horizontal="center" vertical="center"/>
    </xf>
    <xf numFmtId="0" fontId="35" fillId="36" borderId="27" xfId="0" applyFont="1" applyFill="1" applyBorder="1" applyAlignment="1">
      <alignment horizontal="center" vertical="center"/>
    </xf>
    <xf numFmtId="0" fontId="32" fillId="36" borderId="10" xfId="0" applyFont="1" applyFill="1" applyBorder="1" applyAlignment="1">
      <alignment vertical="center"/>
    </xf>
    <xf numFmtId="1" fontId="32" fillId="36" borderId="10" xfId="0" applyNumberFormat="1" applyFont="1" applyFill="1" applyBorder="1" applyAlignment="1">
      <alignment horizontal="center" vertical="center"/>
    </xf>
    <xf numFmtId="0" fontId="32" fillId="36" borderId="10" xfId="0" applyFont="1" applyFill="1" applyBorder="1" applyAlignment="1">
      <alignment horizontal="center" vertical="center"/>
    </xf>
    <xf numFmtId="10" fontId="32" fillId="36" borderId="10" xfId="0" applyNumberFormat="1" applyFont="1" applyFill="1" applyBorder="1" applyAlignment="1">
      <alignment horizontal="center" vertical="center"/>
    </xf>
    <xf numFmtId="10" fontId="51" fillId="36" borderId="10" xfId="0" quotePrefix="1" applyNumberFormat="1" applyFont="1" applyFill="1" applyBorder="1" applyAlignment="1">
      <alignment horizontal="center" vertical="center"/>
    </xf>
    <xf numFmtId="2" fontId="32" fillId="36" borderId="10" xfId="0" applyNumberFormat="1" applyFont="1" applyFill="1" applyBorder="1" applyAlignment="1">
      <alignment horizontal="center" vertical="center"/>
    </xf>
    <xf numFmtId="0" fontId="32" fillId="36" borderId="66" xfId="0" applyFont="1" applyFill="1" applyBorder="1" applyAlignment="1">
      <alignment vertical="center"/>
    </xf>
    <xf numFmtId="0" fontId="32" fillId="41" borderId="10" xfId="0" applyFont="1" applyFill="1" applyBorder="1" applyAlignment="1">
      <alignment vertical="center"/>
    </xf>
    <xf numFmtId="0" fontId="32" fillId="41" borderId="10" xfId="0" applyFont="1" applyFill="1" applyBorder="1" applyAlignment="1">
      <alignment horizontal="center" vertical="center"/>
    </xf>
    <xf numFmtId="0" fontId="32" fillId="35" borderId="26" xfId="0" applyFont="1" applyFill="1" applyBorder="1" applyAlignment="1">
      <alignment vertical="center"/>
    </xf>
    <xf numFmtId="0" fontId="32" fillId="41" borderId="63" xfId="0" applyFont="1" applyFill="1" applyBorder="1" applyAlignment="1">
      <alignment horizontal="center" vertical="center"/>
    </xf>
    <xf numFmtId="0" fontId="32" fillId="41" borderId="62" xfId="0" applyFont="1" applyFill="1" applyBorder="1" applyAlignment="1">
      <alignment horizontal="center" vertical="center"/>
    </xf>
    <xf numFmtId="0" fontId="50" fillId="36" borderId="10" xfId="0" applyFont="1" applyFill="1" applyBorder="1" applyAlignment="1">
      <alignment vertical="center"/>
    </xf>
    <xf numFmtId="2" fontId="50" fillId="36" borderId="10" xfId="0" applyNumberFormat="1" applyFont="1" applyFill="1" applyBorder="1" applyAlignment="1">
      <alignment horizontal="center" vertical="center"/>
    </xf>
    <xf numFmtId="10" fontId="50" fillId="36" borderId="10" xfId="0" applyNumberFormat="1" applyFont="1" applyFill="1" applyBorder="1" applyAlignment="1">
      <alignment horizontal="center" vertical="center"/>
    </xf>
    <xf numFmtId="1" fontId="33" fillId="36" borderId="10" xfId="0" applyNumberFormat="1" applyFont="1" applyFill="1" applyBorder="1" applyAlignment="1">
      <alignment horizontal="center" vertical="center"/>
    </xf>
    <xf numFmtId="0" fontId="32" fillId="36" borderId="27" xfId="0" applyFont="1" applyFill="1" applyBorder="1" applyAlignment="1">
      <alignment vertical="center"/>
    </xf>
    <xf numFmtId="1" fontId="33" fillId="36" borderId="27" xfId="0" applyNumberFormat="1" applyFont="1" applyFill="1" applyBorder="1" applyAlignment="1">
      <alignment horizontal="center" vertical="center"/>
    </xf>
    <xf numFmtId="0" fontId="32" fillId="36" borderId="27" xfId="0" applyFont="1" applyFill="1" applyBorder="1" applyAlignment="1">
      <alignment horizontal="center" vertical="center"/>
    </xf>
    <xf numFmtId="2" fontId="0" fillId="0" borderId="10" xfId="0" applyNumberFormat="1" applyBorder="1" applyAlignment="1">
      <alignment horizontal="center"/>
    </xf>
    <xf numFmtId="2" fontId="33" fillId="36" borderId="27" xfId="0" applyNumberFormat="1" applyFont="1" applyFill="1" applyBorder="1" applyAlignment="1">
      <alignment horizontal="center" vertical="center"/>
    </xf>
    <xf numFmtId="2" fontId="32" fillId="36" borderId="27" xfId="0" applyNumberFormat="1" applyFont="1" applyFill="1" applyBorder="1" applyAlignment="1">
      <alignment horizontal="center" vertical="center"/>
    </xf>
    <xf numFmtId="2" fontId="33" fillId="36" borderId="10" xfId="0" applyNumberFormat="1" applyFont="1" applyFill="1" applyBorder="1" applyAlignment="1">
      <alignment horizontal="center" vertical="center"/>
    </xf>
    <xf numFmtId="3" fontId="32" fillId="36" borderId="10" xfId="0" applyNumberFormat="1" applyFont="1" applyFill="1" applyBorder="1" applyAlignment="1">
      <alignment horizontal="center" vertical="center"/>
    </xf>
    <xf numFmtId="0" fontId="32" fillId="36" borderId="0" xfId="0" applyFont="1" applyFill="1" applyAlignment="1">
      <alignment vertical="center"/>
    </xf>
    <xf numFmtId="3" fontId="32" fillId="36" borderId="0" xfId="0" applyNumberFormat="1" applyFont="1" applyFill="1" applyAlignment="1">
      <alignment horizontal="center" vertical="center"/>
    </xf>
    <xf numFmtId="10" fontId="32" fillId="36" borderId="0" xfId="0" applyNumberFormat="1" applyFont="1" applyFill="1" applyAlignment="1">
      <alignment horizontal="center" vertical="center"/>
    </xf>
    <xf numFmtId="2" fontId="32" fillId="36" borderId="66" xfId="0" applyNumberFormat="1" applyFont="1" applyFill="1" applyBorder="1" applyAlignment="1">
      <alignment horizontal="center" vertical="center"/>
    </xf>
    <xf numFmtId="0" fontId="32" fillId="35" borderId="63" xfId="0" applyFont="1" applyFill="1" applyBorder="1" applyAlignment="1">
      <alignment vertical="center"/>
    </xf>
    <xf numFmtId="0" fontId="32" fillId="35" borderId="62" xfId="0" applyFont="1" applyFill="1" applyBorder="1" applyAlignment="1">
      <alignment vertical="center"/>
    </xf>
    <xf numFmtId="10" fontId="32" fillId="36" borderId="27" xfId="0" applyNumberFormat="1" applyFont="1" applyFill="1" applyBorder="1" applyAlignment="1">
      <alignment horizontal="center" vertical="center"/>
    </xf>
    <xf numFmtId="3" fontId="32" fillId="36" borderId="27" xfId="0" applyNumberFormat="1" applyFont="1" applyFill="1" applyBorder="1" applyAlignment="1">
      <alignment horizontal="center" vertical="center"/>
    </xf>
    <xf numFmtId="0" fontId="31" fillId="36" borderId="0" xfId="0" applyFont="1" applyFill="1" applyAlignment="1">
      <alignment vertical="center"/>
    </xf>
    <xf numFmtId="0" fontId="32" fillId="0" borderId="0" xfId="0" applyFont="1" applyAlignment="1">
      <alignment horizontal="center" vertical="center"/>
    </xf>
    <xf numFmtId="0" fontId="50" fillId="36" borderId="10" xfId="0" applyFont="1" applyFill="1" applyBorder="1" applyAlignment="1">
      <alignment horizontal="center" vertical="center"/>
    </xf>
    <xf numFmtId="0" fontId="32" fillId="36" borderId="0" xfId="0" applyFont="1" applyFill="1" applyAlignment="1">
      <alignment horizontal="center" vertical="center"/>
    </xf>
    <xf numFmtId="0" fontId="35" fillId="36" borderId="64" xfId="0" applyFont="1" applyFill="1" applyBorder="1" applyAlignment="1">
      <alignment horizontal="center" vertical="center"/>
    </xf>
    <xf numFmtId="0" fontId="35" fillId="36" borderId="65" xfId="0" applyFont="1" applyFill="1" applyBorder="1" applyAlignment="1">
      <alignment horizontal="center" vertical="center"/>
    </xf>
    <xf numFmtId="0" fontId="35" fillId="36" borderId="77" xfId="0" applyFont="1" applyFill="1" applyBorder="1" applyAlignment="1">
      <alignment horizontal="center" vertical="center"/>
    </xf>
    <xf numFmtId="0" fontId="35" fillId="36" borderId="67" xfId="0" applyFont="1" applyFill="1" applyBorder="1" applyAlignment="1">
      <alignment horizontal="center" vertical="center"/>
    </xf>
    <xf numFmtId="0" fontId="0" fillId="0" borderId="26" xfId="0" applyBorder="1" applyAlignment="1" applyProtection="1">
      <alignment horizontal="center"/>
      <protection locked="0"/>
    </xf>
    <xf numFmtId="0" fontId="0" fillId="0" borderId="18" xfId="0" applyBorder="1" applyAlignment="1">
      <alignment horizontal="center" vertical="center" wrapText="1"/>
    </xf>
    <xf numFmtId="0" fontId="0" fillId="0" borderId="19" xfId="0" applyBorder="1" applyAlignment="1">
      <alignment horizontal="center" vertical="center" wrapText="1"/>
    </xf>
    <xf numFmtId="0" fontId="65" fillId="0" borderId="0" xfId="0" applyFont="1" applyProtection="1">
      <protection locked="0"/>
    </xf>
    <xf numFmtId="0" fontId="58" fillId="47" borderId="79" xfId="47" applyFont="1" applyFill="1" applyBorder="1" applyAlignment="1" applyProtection="1">
      <alignment vertical="center" wrapText="1"/>
      <protection locked="0"/>
    </xf>
    <xf numFmtId="0" fontId="58" fillId="47" borderId="80" xfId="47" applyFont="1" applyFill="1" applyBorder="1" applyAlignment="1" applyProtection="1">
      <alignment vertical="center" wrapText="1"/>
      <protection locked="0"/>
    </xf>
    <xf numFmtId="0" fontId="58" fillId="47" borderId="80" xfId="47" applyFont="1" applyFill="1" applyBorder="1" applyAlignment="1" applyProtection="1">
      <alignment vertical="center"/>
      <protection locked="0"/>
    </xf>
    <xf numFmtId="0" fontId="57" fillId="47" borderId="80" xfId="47" applyFont="1" applyFill="1" applyBorder="1" applyAlignment="1" applyProtection="1">
      <alignment horizontal="center" vertical="center" wrapText="1"/>
      <protection locked="0"/>
    </xf>
    <xf numFmtId="0" fontId="58" fillId="47" borderId="80" xfId="47" applyFont="1" applyFill="1" applyBorder="1" applyAlignment="1" applyProtection="1">
      <alignment horizontal="center" vertical="center" wrapText="1"/>
      <protection locked="0"/>
    </xf>
    <xf numFmtId="0" fontId="58" fillId="47" borderId="81" xfId="47" applyFont="1" applyFill="1" applyBorder="1" applyAlignment="1" applyProtection="1">
      <alignment horizontal="center" vertical="center" wrapText="1"/>
      <protection locked="0"/>
    </xf>
    <xf numFmtId="0" fontId="58" fillId="46" borderId="0" xfId="47" applyFont="1" applyFill="1" applyAlignment="1" applyProtection="1">
      <alignment horizontal="center" vertical="center" wrapText="1"/>
      <protection locked="0"/>
    </xf>
    <xf numFmtId="0" fontId="58" fillId="47" borderId="79" xfId="47" applyFont="1" applyFill="1" applyBorder="1" applyAlignment="1" applyProtection="1">
      <alignment horizontal="center" vertical="center"/>
      <protection locked="0"/>
    </xf>
    <xf numFmtId="0" fontId="58" fillId="46" borderId="0" xfId="47" applyFont="1" applyFill="1" applyAlignment="1" applyProtection="1">
      <alignment horizontal="center" vertical="center"/>
      <protection locked="0"/>
    </xf>
    <xf numFmtId="0" fontId="58" fillId="47" borderId="79" xfId="47" applyFont="1" applyFill="1" applyBorder="1" applyAlignment="1" applyProtection="1">
      <alignment horizontal="left" vertical="center"/>
      <protection locked="0"/>
    </xf>
    <xf numFmtId="0" fontId="58" fillId="47" borderId="80" xfId="47" applyFont="1" applyFill="1" applyBorder="1" applyAlignment="1" applyProtection="1">
      <alignment horizontal="center" vertical="center"/>
      <protection locked="0"/>
    </xf>
    <xf numFmtId="0" fontId="58" fillId="47" borderId="80" xfId="47" applyFont="1" applyFill="1" applyBorder="1" applyAlignment="1" applyProtection="1">
      <alignment horizontal="left" vertical="center"/>
      <protection locked="0"/>
    </xf>
    <xf numFmtId="0" fontId="58" fillId="47" borderId="81" xfId="47" applyFont="1" applyFill="1" applyBorder="1" applyAlignment="1" applyProtection="1">
      <alignment horizontal="center" vertical="center"/>
      <protection locked="0"/>
    </xf>
    <xf numFmtId="0" fontId="64" fillId="0" borderId="0" xfId="47" applyFont="1" applyAlignment="1" applyProtection="1">
      <alignment horizontal="center" vertical="center"/>
      <protection locked="0"/>
    </xf>
    <xf numFmtId="0" fontId="64" fillId="0" borderId="0" xfId="0" applyFont="1" applyAlignment="1" applyProtection="1">
      <alignment vertical="center"/>
      <protection locked="0"/>
    </xf>
    <xf numFmtId="0" fontId="49" fillId="0" borderId="0" xfId="0" applyFont="1" applyAlignment="1" applyProtection="1">
      <alignment vertical="center"/>
      <protection locked="0"/>
    </xf>
    <xf numFmtId="0" fontId="57" fillId="33" borderId="79" xfId="47" applyFont="1" applyFill="1" applyBorder="1" applyAlignment="1" applyProtection="1">
      <alignment horizontal="left" vertical="center"/>
      <protection locked="0"/>
    </xf>
    <xf numFmtId="0" fontId="57" fillId="33" borderId="80" xfId="47" applyFont="1" applyFill="1" applyBorder="1" applyAlignment="1" applyProtection="1">
      <alignment horizontal="left" vertical="center"/>
      <protection locked="0"/>
    </xf>
    <xf numFmtId="0" fontId="58" fillId="33" borderId="80" xfId="47" applyFont="1" applyFill="1" applyBorder="1" applyAlignment="1" applyProtection="1">
      <alignment horizontal="left" vertical="center"/>
      <protection locked="0"/>
    </xf>
    <xf numFmtId="0" fontId="58" fillId="33" borderId="80" xfId="47" applyFont="1" applyFill="1" applyBorder="1" applyAlignment="1" applyProtection="1">
      <alignment horizontal="left" vertical="center" wrapText="1"/>
      <protection locked="0"/>
    </xf>
    <xf numFmtId="0" fontId="59" fillId="33" borderId="80" xfId="47" applyFont="1" applyFill="1" applyBorder="1" applyAlignment="1" applyProtection="1">
      <alignment vertical="center" wrapText="1"/>
      <protection locked="0"/>
    </xf>
    <xf numFmtId="0" fontId="60" fillId="33" borderId="80" xfId="47" applyFont="1" applyFill="1" applyBorder="1" applyAlignment="1" applyProtection="1">
      <alignment horizontal="left" vertical="center" wrapText="1"/>
      <protection locked="0"/>
    </xf>
    <xf numFmtId="0" fontId="61" fillId="33" borderId="80" xfId="47" applyFont="1" applyFill="1" applyBorder="1" applyAlignment="1" applyProtection="1">
      <alignment horizontal="center" vertical="center" wrapText="1"/>
      <protection locked="0"/>
    </xf>
    <xf numFmtId="0" fontId="59" fillId="33" borderId="80" xfId="47" applyFont="1" applyFill="1" applyBorder="1" applyAlignment="1" applyProtection="1">
      <alignment horizontal="center" vertical="center"/>
      <protection locked="0"/>
    </xf>
    <xf numFmtId="0" fontId="62" fillId="33" borderId="80" xfId="47" applyFont="1" applyFill="1" applyBorder="1" applyAlignment="1" applyProtection="1">
      <alignment horizontal="center" vertical="center"/>
      <protection locked="0"/>
    </xf>
    <xf numFmtId="0" fontId="60" fillId="33" borderId="80" xfId="47" quotePrefix="1" applyFont="1" applyFill="1" applyBorder="1" applyAlignment="1" applyProtection="1">
      <alignment horizontal="center" vertical="center"/>
      <protection locked="0"/>
    </xf>
    <xf numFmtId="0" fontId="60" fillId="33" borderId="81" xfId="47" applyFont="1" applyFill="1" applyBorder="1" applyAlignment="1" applyProtection="1">
      <alignment horizontal="center" vertical="center"/>
      <protection locked="0"/>
    </xf>
    <xf numFmtId="167" fontId="60" fillId="46" borderId="0" xfId="43" quotePrefix="1" applyNumberFormat="1" applyFont="1" applyFill="1" applyBorder="1" applyAlignment="1" applyProtection="1">
      <alignment horizontal="center" vertical="center"/>
      <protection locked="0"/>
    </xf>
    <xf numFmtId="0" fontId="60" fillId="45" borderId="79" xfId="47" quotePrefix="1" applyFont="1" applyFill="1" applyBorder="1" applyAlignment="1" applyProtection="1">
      <alignment horizontal="center" vertical="center"/>
      <protection locked="0"/>
    </xf>
    <xf numFmtId="42" fontId="60" fillId="45" borderId="80" xfId="43" quotePrefix="1" applyNumberFormat="1" applyFont="1" applyFill="1" applyBorder="1" applyAlignment="1" applyProtection="1">
      <alignment horizontal="center" vertical="center"/>
      <protection locked="0"/>
    </xf>
    <xf numFmtId="167" fontId="60" fillId="45" borderId="80" xfId="43" quotePrefix="1" applyNumberFormat="1" applyFont="1" applyFill="1" applyBorder="1" applyAlignment="1" applyProtection="1">
      <alignment horizontal="center" vertical="center"/>
      <protection locked="0"/>
    </xf>
    <xf numFmtId="167" fontId="60" fillId="45" borderId="81" xfId="43" quotePrefix="1" applyNumberFormat="1" applyFont="1" applyFill="1" applyBorder="1" applyAlignment="1" applyProtection="1">
      <alignment horizontal="center" vertical="center"/>
      <protection locked="0"/>
    </xf>
    <xf numFmtId="0" fontId="60" fillId="45" borderId="79" xfId="47" applyFont="1" applyFill="1" applyBorder="1" applyAlignment="1" applyProtection="1">
      <alignment horizontal="left" vertical="center"/>
      <protection locked="0"/>
    </xf>
    <xf numFmtId="0" fontId="60" fillId="45" borderId="80" xfId="47" applyFont="1" applyFill="1" applyBorder="1" applyAlignment="1" applyProtection="1">
      <alignment horizontal="center" vertical="center"/>
      <protection locked="0"/>
    </xf>
    <xf numFmtId="0" fontId="60" fillId="45" borderId="80" xfId="0" applyFont="1" applyFill="1" applyBorder="1" applyAlignment="1" applyProtection="1">
      <alignment horizontal="center" vertical="center"/>
      <protection locked="0"/>
    </xf>
    <xf numFmtId="0" fontId="60" fillId="45" borderId="80" xfId="47" applyFont="1" applyFill="1" applyBorder="1" applyAlignment="1" applyProtection="1">
      <alignment horizontal="left" vertical="center"/>
      <protection locked="0"/>
    </xf>
    <xf numFmtId="49" fontId="63" fillId="45" borderId="80" xfId="44" applyNumberFormat="1" applyFont="1" applyFill="1" applyBorder="1" applyAlignment="1" applyProtection="1">
      <alignment horizontal="center" vertical="center"/>
      <protection locked="0"/>
    </xf>
    <xf numFmtId="49" fontId="63" fillId="45" borderId="81" xfId="44" applyNumberFormat="1" applyFont="1" applyFill="1" applyBorder="1" applyAlignment="1" applyProtection="1">
      <alignment horizontal="center" vertical="center"/>
      <protection locked="0"/>
    </xf>
    <xf numFmtId="0" fontId="57" fillId="0" borderId="0" xfId="47" applyFont="1" applyAlignment="1" applyProtection="1">
      <alignment horizontal="left" vertical="center"/>
      <protection locked="0"/>
    </xf>
    <xf numFmtId="0" fontId="58" fillId="0" borderId="0" xfId="47" applyFont="1" applyAlignment="1" applyProtection="1">
      <alignment horizontal="left" vertical="center"/>
      <protection locked="0"/>
    </xf>
    <xf numFmtId="0" fontId="58" fillId="0" borderId="0" xfId="47" applyFont="1" applyAlignment="1" applyProtection="1">
      <alignment horizontal="left" vertical="center" wrapText="1"/>
      <protection locked="0"/>
    </xf>
    <xf numFmtId="0" fontId="59" fillId="0" borderId="0" xfId="47" applyFont="1" applyAlignment="1" applyProtection="1">
      <alignment vertical="center" wrapText="1"/>
      <protection locked="0"/>
    </xf>
    <xf numFmtId="0" fontId="60" fillId="0" borderId="0" xfId="47" applyFont="1" applyAlignment="1" applyProtection="1">
      <alignment horizontal="left" vertical="center" wrapText="1"/>
      <protection locked="0"/>
    </xf>
    <xf numFmtId="0" fontId="61" fillId="0" borderId="0" xfId="47" applyFont="1" applyAlignment="1" applyProtection="1">
      <alignment horizontal="center" vertical="center" wrapText="1"/>
      <protection locked="0"/>
    </xf>
    <xf numFmtId="0" fontId="59" fillId="0" borderId="0" xfId="47" applyFont="1" applyAlignment="1" applyProtection="1">
      <alignment horizontal="center" vertical="center"/>
      <protection locked="0"/>
    </xf>
    <xf numFmtId="0" fontId="62" fillId="0" borderId="0" xfId="47" applyFont="1" applyAlignment="1" applyProtection="1">
      <alignment horizontal="center" vertical="center"/>
      <protection locked="0"/>
    </xf>
    <xf numFmtId="0" fontId="60" fillId="0" borderId="0" xfId="47" quotePrefix="1" applyFont="1" applyAlignment="1" applyProtection="1">
      <alignment horizontal="center" vertical="center"/>
      <protection locked="0"/>
    </xf>
    <xf numFmtId="0" fontId="60" fillId="0" borderId="0" xfId="47" applyFont="1" applyAlignment="1" applyProtection="1">
      <alignment horizontal="center" vertical="center"/>
      <protection locked="0"/>
    </xf>
    <xf numFmtId="167" fontId="60" fillId="0" borderId="0" xfId="43" quotePrefix="1" applyNumberFormat="1" applyFont="1" applyFill="1" applyBorder="1" applyAlignment="1" applyProtection="1">
      <alignment horizontal="center" vertical="center"/>
      <protection locked="0"/>
    </xf>
    <xf numFmtId="42" fontId="60" fillId="0" borderId="0" xfId="43" quotePrefix="1" applyNumberFormat="1" applyFont="1" applyFill="1" applyBorder="1" applyAlignment="1" applyProtection="1">
      <alignment horizontal="center" vertical="center"/>
      <protection locked="0"/>
    </xf>
    <xf numFmtId="0" fontId="60" fillId="0" borderId="0" xfId="47" applyFont="1" applyAlignment="1" applyProtection="1">
      <alignment horizontal="left" vertical="center"/>
      <protection locked="0"/>
    </xf>
    <xf numFmtId="0" fontId="60" fillId="0" borderId="0" xfId="0" applyFont="1" applyAlignment="1" applyProtection="1">
      <alignment horizontal="center" vertical="center"/>
      <protection locked="0"/>
    </xf>
    <xf numFmtId="49" fontId="63" fillId="0" borderId="0" xfId="44" applyNumberFormat="1" applyFont="1" applyAlignment="1" applyProtection="1">
      <alignment horizontal="center" vertical="center"/>
      <protection locked="0"/>
    </xf>
    <xf numFmtId="0" fontId="16" fillId="38" borderId="31" xfId="0" applyFont="1" applyFill="1" applyBorder="1" applyAlignment="1" applyProtection="1">
      <alignment horizontal="center"/>
      <protection locked="0"/>
    </xf>
    <xf numFmtId="0" fontId="65" fillId="38" borderId="31" xfId="0" applyFont="1" applyFill="1" applyBorder="1" applyAlignment="1" applyProtection="1">
      <alignment vertical="center"/>
      <protection locked="0"/>
    </xf>
    <xf numFmtId="0" fontId="65" fillId="38" borderId="87" xfId="0" applyFont="1" applyFill="1" applyBorder="1" applyAlignment="1" applyProtection="1">
      <alignment vertical="center"/>
      <protection locked="0"/>
    </xf>
    <xf numFmtId="0" fontId="65" fillId="38" borderId="73" xfId="0" applyFont="1" applyFill="1" applyBorder="1" applyAlignment="1" applyProtection="1">
      <alignment vertical="center"/>
      <protection locked="0"/>
    </xf>
    <xf numFmtId="0" fontId="16" fillId="0" borderId="32" xfId="0" applyFont="1" applyBorder="1" applyProtection="1">
      <protection locked="0"/>
    </xf>
    <xf numFmtId="0" fontId="0" fillId="33" borderId="36" xfId="0" applyFill="1" applyBorder="1" applyAlignment="1" applyProtection="1">
      <alignment horizontal="center"/>
      <protection locked="0"/>
    </xf>
    <xf numFmtId="0" fontId="0" fillId="42" borderId="34" xfId="0" applyFill="1" applyBorder="1" applyAlignment="1" applyProtection="1">
      <alignment horizontal="center"/>
      <protection locked="0"/>
    </xf>
    <xf numFmtId="0" fontId="0" fillId="33" borderId="33" xfId="0" applyFill="1" applyBorder="1" applyProtection="1">
      <protection locked="0"/>
    </xf>
    <xf numFmtId="0" fontId="16" fillId="0" borderId="0" xfId="0" applyFont="1" applyAlignment="1" applyProtection="1">
      <alignment horizontal="left" vertical="top"/>
      <protection locked="0"/>
    </xf>
    <xf numFmtId="0" fontId="0" fillId="0" borderId="0" xfId="0" applyAlignment="1" applyProtection="1">
      <alignment horizontal="left" vertical="top" wrapText="1"/>
      <protection locked="0"/>
    </xf>
    <xf numFmtId="0" fontId="0" fillId="33" borderId="33" xfId="0" applyFill="1" applyBorder="1" applyAlignment="1" applyProtection="1">
      <alignment horizontal="left"/>
      <protection locked="0"/>
    </xf>
    <xf numFmtId="0" fontId="0" fillId="33" borderId="72" xfId="0" applyFill="1" applyBorder="1" applyProtection="1">
      <protection locked="0"/>
    </xf>
    <xf numFmtId="0" fontId="0" fillId="33" borderId="82" xfId="0" applyFill="1" applyBorder="1" applyProtection="1">
      <protection locked="0"/>
    </xf>
    <xf numFmtId="0" fontId="66" fillId="0" borderId="0" xfId="47" applyFont="1" applyAlignment="1" applyProtection="1">
      <alignment horizontal="left" vertical="center" wrapText="1"/>
      <protection locked="0"/>
    </xf>
    <xf numFmtId="0" fontId="66" fillId="0" borderId="0" xfId="47" applyFont="1" applyAlignment="1" applyProtection="1">
      <alignment horizontal="left" vertical="center"/>
      <protection locked="0"/>
    </xf>
    <xf numFmtId="0" fontId="0" fillId="33" borderId="35" xfId="0" applyFill="1" applyBorder="1" applyAlignment="1" applyProtection="1">
      <alignment horizontal="left"/>
      <protection locked="0"/>
    </xf>
    <xf numFmtId="0" fontId="66" fillId="0" borderId="0" xfId="47" applyFont="1" applyAlignment="1" applyProtection="1">
      <alignment vertical="center"/>
      <protection locked="0"/>
    </xf>
    <xf numFmtId="0" fontId="66" fillId="0" borderId="0" xfId="0" applyFont="1" applyProtection="1">
      <protection locked="0"/>
    </xf>
    <xf numFmtId="0" fontId="0" fillId="0" borderId="0" xfId="0" applyAlignment="1" applyProtection="1">
      <alignment vertical="center"/>
      <protection locked="0"/>
    </xf>
    <xf numFmtId="0" fontId="0" fillId="42" borderId="14" xfId="0" applyFill="1" applyBorder="1" applyAlignment="1" applyProtection="1">
      <alignment vertical="center"/>
      <protection locked="0"/>
    </xf>
    <xf numFmtId="0" fontId="0" fillId="42" borderId="49" xfId="0" applyFill="1" applyBorder="1" applyAlignment="1" applyProtection="1">
      <alignment vertical="center" wrapText="1"/>
      <protection locked="0"/>
    </xf>
    <xf numFmtId="9" fontId="32" fillId="42" borderId="36" xfId="0" applyNumberFormat="1" applyFont="1" applyFill="1" applyBorder="1" applyAlignment="1">
      <alignment horizontal="center" vertical="center"/>
    </xf>
    <xf numFmtId="9" fontId="32" fillId="42" borderId="32" xfId="0" applyNumberFormat="1" applyFont="1" applyFill="1" applyBorder="1" applyAlignment="1">
      <alignment horizontal="center" vertical="center"/>
    </xf>
    <xf numFmtId="9" fontId="32" fillId="42" borderId="76" xfId="0" applyNumberFormat="1" applyFont="1" applyFill="1" applyBorder="1" applyAlignment="1">
      <alignment horizontal="center" vertical="center"/>
    </xf>
    <xf numFmtId="9" fontId="32" fillId="42" borderId="85" xfId="0" applyNumberFormat="1" applyFont="1" applyFill="1" applyBorder="1" applyAlignment="1">
      <alignment horizontal="center" vertical="center"/>
    </xf>
    <xf numFmtId="9" fontId="32" fillId="42" borderId="29" xfId="0" applyNumberFormat="1" applyFont="1" applyFill="1" applyBorder="1" applyAlignment="1">
      <alignment horizontal="center" vertical="center"/>
    </xf>
    <xf numFmtId="0" fontId="66" fillId="0" borderId="36" xfId="47" applyFont="1" applyBorder="1" applyAlignment="1">
      <alignment horizontal="left" vertical="center"/>
    </xf>
    <xf numFmtId="0" fontId="48" fillId="42" borderId="88" xfId="0" applyFont="1" applyFill="1" applyBorder="1" applyAlignment="1">
      <alignment vertical="center"/>
    </xf>
    <xf numFmtId="0" fontId="48" fillId="42" borderId="84" xfId="0" applyFont="1" applyFill="1" applyBorder="1" applyAlignment="1">
      <alignment vertical="center"/>
    </xf>
    <xf numFmtId="0" fontId="66" fillId="0" borderId="32" xfId="47" applyFont="1" applyBorder="1" applyAlignment="1">
      <alignment horizontal="left" vertical="center"/>
    </xf>
    <xf numFmtId="0" fontId="48" fillId="42" borderId="62" xfId="0" applyFont="1" applyFill="1" applyBorder="1" applyAlignment="1">
      <alignment vertical="center"/>
    </xf>
    <xf numFmtId="0" fontId="48" fillId="42" borderId="26" xfId="0" applyFont="1" applyFill="1" applyBorder="1" applyAlignment="1">
      <alignment vertical="center"/>
    </xf>
    <xf numFmtId="0" fontId="48" fillId="42" borderId="62" xfId="0" applyFont="1" applyFill="1" applyBorder="1"/>
    <xf numFmtId="0" fontId="48" fillId="42" borderId="26" xfId="0" applyFont="1" applyFill="1" applyBorder="1"/>
    <xf numFmtId="0" fontId="66" fillId="0" borderId="32" xfId="47" applyFont="1" applyBorder="1" applyAlignment="1">
      <alignment vertical="center"/>
    </xf>
    <xf numFmtId="0" fontId="66" fillId="0" borderId="34" xfId="47" applyFont="1" applyBorder="1" applyAlignment="1">
      <alignment vertical="center"/>
    </xf>
    <xf numFmtId="0" fontId="48" fillId="42" borderId="89" xfId="0" applyFont="1" applyFill="1" applyBorder="1"/>
    <xf numFmtId="0" fontId="48" fillId="42" borderId="83" xfId="0" applyFont="1" applyFill="1" applyBorder="1"/>
    <xf numFmtId="0" fontId="66" fillId="0" borderId="29" xfId="47" applyFont="1" applyBorder="1" applyAlignment="1">
      <alignment horizontal="left" vertical="center"/>
    </xf>
    <xf numFmtId="0" fontId="0" fillId="42" borderId="47" xfId="0" applyFill="1" applyBorder="1"/>
    <xf numFmtId="0" fontId="0" fillId="42" borderId="33" xfId="0" applyFill="1" applyBorder="1"/>
    <xf numFmtId="0" fontId="0" fillId="42" borderId="35" xfId="0" applyFill="1" applyBorder="1"/>
    <xf numFmtId="0" fontId="54" fillId="42" borderId="33" xfId="45" applyFill="1" applyBorder="1" applyProtection="1"/>
    <xf numFmtId="0" fontId="0" fillId="42" borderId="25" xfId="0" applyFill="1" applyBorder="1"/>
    <xf numFmtId="0" fontId="0" fillId="42" borderId="47" xfId="0" applyFill="1" applyBorder="1" applyAlignment="1">
      <alignment horizontal="left"/>
    </xf>
    <xf numFmtId="0" fontId="0" fillId="0" borderId="29" xfId="0" applyBorder="1" applyAlignment="1">
      <alignment wrapText="1"/>
    </xf>
    <xf numFmtId="0" fontId="0" fillId="0" borderId="29" xfId="0" applyBorder="1" applyAlignment="1">
      <alignment horizontal="center" wrapText="1"/>
    </xf>
    <xf numFmtId="0" fontId="0" fillId="0" borderId="36" xfId="0" applyBorder="1"/>
    <xf numFmtId="0" fontId="18" fillId="42" borderId="36" xfId="0" applyFont="1" applyFill="1" applyBorder="1"/>
    <xf numFmtId="14" fontId="18" fillId="42" borderId="36" xfId="0" applyNumberFormat="1" applyFont="1" applyFill="1" applyBorder="1" applyAlignment="1">
      <alignment horizontal="center"/>
    </xf>
    <xf numFmtId="0" fontId="0" fillId="0" borderId="32" xfId="0" applyBorder="1"/>
    <xf numFmtId="0" fontId="18" fillId="42" borderId="32" xfId="0" applyFont="1" applyFill="1" applyBorder="1"/>
    <xf numFmtId="14" fontId="18" fillId="42" borderId="32" xfId="0" applyNumberFormat="1" applyFont="1" applyFill="1" applyBorder="1" applyAlignment="1">
      <alignment horizontal="center"/>
    </xf>
    <xf numFmtId="0" fontId="0" fillId="0" borderId="34" xfId="0" applyBorder="1"/>
    <xf numFmtId="0" fontId="18" fillId="42" borderId="34" xfId="0" applyFont="1" applyFill="1" applyBorder="1"/>
    <xf numFmtId="14" fontId="18" fillId="42" borderId="34" xfId="0" applyNumberFormat="1" applyFont="1" applyFill="1" applyBorder="1" applyAlignment="1">
      <alignment horizontal="center"/>
    </xf>
    <xf numFmtId="0" fontId="0" fillId="42" borderId="36" xfId="0" applyFill="1" applyBorder="1"/>
    <xf numFmtId="14" fontId="0" fillId="0" borderId="36" xfId="0" applyNumberFormat="1" applyBorder="1" applyAlignment="1">
      <alignment horizontal="center" wrapText="1"/>
    </xf>
    <xf numFmtId="0" fontId="0" fillId="42" borderId="32" xfId="0" applyFill="1" applyBorder="1"/>
    <xf numFmtId="14" fontId="0" fillId="0" borderId="32" xfId="0" applyNumberFormat="1" applyBorder="1" applyAlignment="1">
      <alignment horizontal="center" wrapText="1"/>
    </xf>
    <xf numFmtId="0" fontId="0" fillId="42" borderId="34" xfId="0" applyFill="1" applyBorder="1"/>
    <xf numFmtId="14" fontId="0" fillId="0" borderId="34" xfId="0" applyNumberFormat="1" applyBorder="1" applyAlignment="1">
      <alignment horizontal="center" wrapText="1"/>
    </xf>
    <xf numFmtId="0" fontId="18" fillId="0" borderId="0" xfId="0" applyFont="1"/>
    <xf numFmtId="0" fontId="16" fillId="49" borderId="23" xfId="0" applyFont="1" applyFill="1" applyBorder="1"/>
    <xf numFmtId="0" fontId="16" fillId="49" borderId="20" xfId="0" applyFont="1" applyFill="1" applyBorder="1"/>
    <xf numFmtId="3" fontId="0" fillId="33" borderId="88" xfId="0" applyNumberFormat="1" applyFill="1" applyBorder="1" applyAlignment="1" applyProtection="1">
      <alignment horizontal="center" vertical="center"/>
      <protection locked="0"/>
    </xf>
    <xf numFmtId="3" fontId="0" fillId="33" borderId="38" xfId="0" applyNumberFormat="1" applyFill="1" applyBorder="1" applyAlignment="1" applyProtection="1">
      <alignment horizontal="center" vertical="center"/>
      <protection locked="0"/>
    </xf>
    <xf numFmtId="3" fontId="0" fillId="33" borderId="39" xfId="0" applyNumberFormat="1" applyFill="1" applyBorder="1" applyAlignment="1" applyProtection="1">
      <alignment horizontal="center" vertical="center"/>
      <protection locked="0"/>
    </xf>
    <xf numFmtId="3" fontId="0" fillId="33" borderId="10" xfId="0" applyNumberFormat="1" applyFill="1" applyBorder="1" applyAlignment="1" applyProtection="1">
      <alignment horizontal="center" vertical="center"/>
      <protection locked="0"/>
    </xf>
    <xf numFmtId="3" fontId="0" fillId="33" borderId="62" xfId="0" applyNumberFormat="1" applyFill="1" applyBorder="1" applyAlignment="1" applyProtection="1">
      <alignment horizontal="center" vertical="center"/>
      <protection locked="0"/>
    </xf>
    <xf numFmtId="3" fontId="0" fillId="33" borderId="64" xfId="0" applyNumberFormat="1" applyFill="1" applyBorder="1" applyAlignment="1" applyProtection="1">
      <alignment horizontal="center" vertical="center"/>
      <protection locked="0"/>
    </xf>
    <xf numFmtId="3" fontId="0" fillId="33" borderId="66" xfId="0" applyNumberFormat="1" applyFill="1" applyBorder="1" applyAlignment="1" applyProtection="1">
      <alignment horizontal="center" vertical="center"/>
      <protection locked="0"/>
    </xf>
    <xf numFmtId="3" fontId="0" fillId="33" borderId="89" xfId="0" applyNumberFormat="1" applyFill="1" applyBorder="1" applyAlignment="1" applyProtection="1">
      <alignment horizontal="center" vertical="center"/>
      <protection locked="0"/>
    </xf>
    <xf numFmtId="3" fontId="0" fillId="33" borderId="43" xfId="0" applyNumberFormat="1" applyFill="1" applyBorder="1" applyAlignment="1" applyProtection="1">
      <alignment horizontal="center" vertical="center"/>
      <protection locked="0"/>
    </xf>
    <xf numFmtId="3" fontId="0" fillId="33" borderId="37" xfId="0" applyNumberFormat="1" applyFill="1" applyBorder="1" applyAlignment="1" applyProtection="1">
      <alignment horizontal="center" vertical="center"/>
      <protection locked="0"/>
    </xf>
    <xf numFmtId="3" fontId="0" fillId="33" borderId="57" xfId="0" applyNumberFormat="1" applyFill="1" applyBorder="1" applyAlignment="1" applyProtection="1">
      <alignment horizontal="center" vertical="center"/>
      <protection locked="0"/>
    </xf>
    <xf numFmtId="3" fontId="0" fillId="33" borderId="41" xfId="0" applyNumberFormat="1" applyFill="1" applyBorder="1" applyAlignment="1" applyProtection="1">
      <alignment horizontal="center" vertical="center"/>
      <protection locked="0"/>
    </xf>
    <xf numFmtId="0" fontId="0" fillId="42" borderId="63" xfId="0" applyFill="1" applyBorder="1" applyAlignment="1">
      <alignment horizontal="left" vertical="center"/>
    </xf>
    <xf numFmtId="0" fontId="32" fillId="33" borderId="37" xfId="0" applyFont="1" applyFill="1" applyBorder="1" applyAlignment="1" applyProtection="1">
      <alignment horizontal="left" vertical="center"/>
      <protection locked="0"/>
    </xf>
    <xf numFmtId="0" fontId="32" fillId="33" borderId="38" xfId="0" applyFont="1" applyFill="1" applyBorder="1" applyAlignment="1" applyProtection="1">
      <alignment horizontal="center" vertical="center"/>
      <protection locked="0"/>
    </xf>
    <xf numFmtId="0" fontId="0" fillId="42" borderId="28" xfId="0" applyFill="1" applyBorder="1" applyAlignment="1">
      <alignment horizontal="left" wrapText="1"/>
    </xf>
    <xf numFmtId="166" fontId="0" fillId="42" borderId="40" xfId="0" applyNumberFormat="1" applyFill="1" applyBorder="1" applyAlignment="1">
      <alignment horizontal="left" wrapText="1"/>
    </xf>
    <xf numFmtId="14" fontId="0" fillId="42" borderId="42" xfId="0" applyNumberFormat="1" applyFill="1" applyBorder="1" applyAlignment="1">
      <alignment horizontal="left" wrapText="1"/>
    </xf>
    <xf numFmtId="0" fontId="0" fillId="42" borderId="28" xfId="0" applyFill="1" applyBorder="1" applyAlignment="1">
      <alignment wrapText="1"/>
    </xf>
    <xf numFmtId="0" fontId="0" fillId="42" borderId="40" xfId="0" applyFill="1" applyBorder="1" applyAlignment="1">
      <alignment horizontal="left" wrapText="1"/>
    </xf>
    <xf numFmtId="0" fontId="0" fillId="42" borderId="42" xfId="0" applyFill="1" applyBorder="1" applyAlignment="1">
      <alignment horizontal="left" wrapText="1"/>
    </xf>
    <xf numFmtId="164" fontId="0" fillId="42" borderId="40" xfId="0" applyNumberFormat="1" applyFill="1" applyBorder="1" applyAlignment="1">
      <alignment horizontal="center"/>
    </xf>
    <xf numFmtId="164" fontId="0" fillId="42" borderId="44" xfId="0" applyNumberFormat="1" applyFill="1" applyBorder="1" applyAlignment="1">
      <alignment horizontal="center"/>
    </xf>
    <xf numFmtId="164" fontId="0" fillId="42" borderId="74" xfId="0" applyNumberFormat="1" applyFill="1" applyBorder="1" applyAlignment="1">
      <alignment horizontal="center"/>
    </xf>
    <xf numFmtId="0" fontId="0" fillId="42" borderId="44" xfId="0" applyFill="1" applyBorder="1" applyAlignment="1">
      <alignment horizontal="center"/>
    </xf>
    <xf numFmtId="0" fontId="0" fillId="42" borderId="74" xfId="0" applyFill="1" applyBorder="1" applyAlignment="1">
      <alignment horizontal="center"/>
    </xf>
    <xf numFmtId="0" fontId="53" fillId="36" borderId="0" xfId="0" applyFont="1" applyFill="1" applyAlignment="1">
      <alignment vertical="top"/>
    </xf>
    <xf numFmtId="0" fontId="0" fillId="36" borderId="0" xfId="0" applyFill="1"/>
    <xf numFmtId="0" fontId="0" fillId="36" borderId="29" xfId="0" applyFill="1" applyBorder="1" applyAlignment="1">
      <alignment wrapText="1"/>
    </xf>
    <xf numFmtId="0" fontId="0" fillId="36" borderId="12" xfId="0" applyFill="1" applyBorder="1" applyAlignment="1">
      <alignment horizontal="center" wrapText="1"/>
    </xf>
    <xf numFmtId="0" fontId="0" fillId="36" borderId="14" xfId="0" applyFill="1" applyBorder="1" applyAlignment="1">
      <alignment horizontal="center" wrapText="1"/>
    </xf>
    <xf numFmtId="0" fontId="0" fillId="36" borderId="76" xfId="0" applyFill="1" applyBorder="1"/>
    <xf numFmtId="0" fontId="0" fillId="36" borderId="32" xfId="0" applyFill="1" applyBorder="1"/>
    <xf numFmtId="0" fontId="0" fillId="36" borderId="34" xfId="0" applyFill="1" applyBorder="1"/>
    <xf numFmtId="0" fontId="19" fillId="33" borderId="44" xfId="0" applyFont="1" applyFill="1" applyBorder="1" applyAlignment="1">
      <alignment horizontal="center"/>
    </xf>
    <xf numFmtId="0" fontId="25" fillId="33" borderId="74" xfId="0" applyFont="1" applyFill="1" applyBorder="1" applyAlignment="1">
      <alignment horizontal="center"/>
    </xf>
    <xf numFmtId="0" fontId="19" fillId="33" borderId="39" xfId="0" applyFont="1" applyFill="1" applyBorder="1" applyAlignment="1">
      <alignment horizontal="center"/>
    </xf>
    <xf numFmtId="0" fontId="25" fillId="33" borderId="40" xfId="0" applyFont="1" applyFill="1" applyBorder="1" applyAlignment="1">
      <alignment horizontal="center"/>
    </xf>
    <xf numFmtId="0" fontId="0" fillId="50" borderId="63" xfId="0" applyFill="1" applyBorder="1" applyAlignment="1" applyProtection="1">
      <alignment horizontal="left" vertical="center"/>
      <protection locked="0"/>
    </xf>
    <xf numFmtId="22" fontId="0" fillId="0" borderId="0" xfId="0" applyNumberFormat="1" applyProtection="1">
      <protection locked="0"/>
    </xf>
    <xf numFmtId="0" fontId="22" fillId="36" borderId="20" xfId="0" applyFont="1" applyFill="1" applyBorder="1" applyAlignment="1">
      <alignment horizontal="right" vertical="center"/>
    </xf>
    <xf numFmtId="0" fontId="0" fillId="42" borderId="14" xfId="0" applyFill="1" applyBorder="1" applyAlignment="1">
      <alignment horizontal="left" wrapText="1"/>
    </xf>
    <xf numFmtId="0" fontId="48" fillId="0" borderId="0" xfId="0" applyFont="1" applyAlignment="1">
      <alignment vertical="center"/>
    </xf>
    <xf numFmtId="14" fontId="0" fillId="33" borderId="63" xfId="0" quotePrefix="1" applyNumberFormat="1" applyFill="1" applyBorder="1" applyAlignment="1" applyProtection="1">
      <alignment horizontal="left" vertical="center"/>
      <protection locked="0"/>
    </xf>
    <xf numFmtId="3" fontId="14" fillId="33" borderId="39" xfId="0" applyNumberFormat="1" applyFont="1" applyFill="1" applyBorder="1" applyAlignment="1" applyProtection="1">
      <alignment horizontal="center" vertical="center"/>
      <protection locked="0"/>
    </xf>
    <xf numFmtId="3" fontId="14" fillId="33" borderId="10" xfId="0" applyNumberFormat="1" applyFont="1" applyFill="1" applyBorder="1" applyAlignment="1" applyProtection="1">
      <alignment horizontal="center" vertical="center"/>
      <protection locked="0"/>
    </xf>
    <xf numFmtId="3" fontId="14" fillId="33" borderId="62" xfId="0" applyNumberFormat="1" applyFont="1" applyFill="1" applyBorder="1" applyAlignment="1" applyProtection="1">
      <alignment horizontal="center" vertical="center"/>
      <protection locked="0"/>
    </xf>
    <xf numFmtId="0" fontId="54" fillId="0" borderId="0" xfId="45"/>
    <xf numFmtId="0" fontId="47" fillId="0" borderId="0" xfId="0" applyFont="1"/>
    <xf numFmtId="0" fontId="47" fillId="51" borderId="0" xfId="0" applyFont="1" applyFill="1" applyAlignment="1">
      <alignment horizontal="center"/>
    </xf>
    <xf numFmtId="0" fontId="16" fillId="51" borderId="0" xfId="0" applyFont="1" applyFill="1" applyAlignment="1">
      <alignment horizontal="center"/>
    </xf>
    <xf numFmtId="0" fontId="0" fillId="43" borderId="0" xfId="0" applyFill="1"/>
    <xf numFmtId="14" fontId="0" fillId="43" borderId="0" xfId="0" applyNumberFormat="1" applyFill="1"/>
    <xf numFmtId="0" fontId="0" fillId="51" borderId="0" xfId="0" applyFill="1" applyAlignment="1">
      <alignment horizontal="center"/>
    </xf>
    <xf numFmtId="0" fontId="16" fillId="43" borderId="0" xfId="0" applyFont="1" applyFill="1"/>
    <xf numFmtId="0" fontId="16" fillId="39" borderId="0" xfId="0" applyFont="1" applyFill="1"/>
    <xf numFmtId="0" fontId="0" fillId="39" borderId="0" xfId="0" applyFill="1"/>
    <xf numFmtId="14" fontId="0" fillId="39" borderId="0" xfId="0" applyNumberFormat="1" applyFill="1"/>
    <xf numFmtId="0" fontId="16" fillId="52" borderId="0" xfId="0" applyFont="1" applyFill="1"/>
    <xf numFmtId="0" fontId="0" fillId="52" borderId="0" xfId="0" applyFill="1"/>
    <xf numFmtId="14" fontId="0" fillId="52" borderId="0" xfId="0" applyNumberFormat="1" applyFill="1"/>
    <xf numFmtId="0" fontId="0" fillId="45" borderId="0" xfId="0" applyFill="1"/>
    <xf numFmtId="14" fontId="0" fillId="45" borderId="0" xfId="0" applyNumberFormat="1" applyFill="1"/>
    <xf numFmtId="0" fontId="16" fillId="45" borderId="0" xfId="0" applyFont="1" applyFill="1"/>
    <xf numFmtId="14" fontId="0" fillId="33" borderId="42" xfId="0" quotePrefix="1" applyNumberFormat="1" applyFill="1" applyBorder="1" applyProtection="1">
      <protection locked="0"/>
    </xf>
    <xf numFmtId="0" fontId="16" fillId="53" borderId="0" xfId="0" applyFont="1" applyFill="1"/>
    <xf numFmtId="0" fontId="0" fillId="53" borderId="0" xfId="0" applyFill="1"/>
    <xf numFmtId="14" fontId="0" fillId="53" borderId="0" xfId="0" applyNumberFormat="1" applyFill="1"/>
    <xf numFmtId="0" fontId="16" fillId="54" borderId="0" xfId="0" applyFont="1" applyFill="1"/>
    <xf numFmtId="0" fontId="0" fillId="54" borderId="0" xfId="0" applyFill="1"/>
    <xf numFmtId="14" fontId="0" fillId="54" borderId="0" xfId="0" applyNumberFormat="1" applyFill="1"/>
    <xf numFmtId="0" fontId="54" fillId="33" borderId="14" xfId="45" applyFill="1" applyBorder="1" applyProtection="1">
      <protection locked="0"/>
    </xf>
    <xf numFmtId="0" fontId="16" fillId="33" borderId="31" xfId="0" applyFont="1" applyFill="1" applyBorder="1" applyProtection="1">
      <protection locked="0"/>
    </xf>
    <xf numFmtId="0" fontId="16" fillId="0" borderId="37" xfId="0" applyFont="1" applyBorder="1"/>
    <xf numFmtId="0" fontId="0" fillId="0" borderId="37" xfId="0" applyBorder="1"/>
    <xf numFmtId="0" fontId="16" fillId="0" borderId="39" xfId="0" applyFont="1" applyBorder="1"/>
    <xf numFmtId="0" fontId="0" fillId="0" borderId="10" xfId="0" applyBorder="1"/>
    <xf numFmtId="0" fontId="0" fillId="0" borderId="39" xfId="0" applyBorder="1"/>
    <xf numFmtId="0" fontId="16" fillId="0" borderId="41" xfId="0" applyFont="1" applyBorder="1"/>
    <xf numFmtId="0" fontId="0" fillId="0" borderId="43" xfId="0" applyBorder="1"/>
    <xf numFmtId="0" fontId="0" fillId="0" borderId="41" xfId="0" applyBorder="1"/>
    <xf numFmtId="0" fontId="0" fillId="49" borderId="38" xfId="0" applyFill="1" applyBorder="1"/>
    <xf numFmtId="10" fontId="32" fillId="49" borderId="28" xfId="0" applyNumberFormat="1" applyFont="1" applyFill="1" applyBorder="1" applyAlignment="1">
      <alignment horizontal="center" vertical="center"/>
    </xf>
    <xf numFmtId="0" fontId="16" fillId="49" borderId="39" xfId="0" applyFont="1" applyFill="1" applyBorder="1"/>
    <xf numFmtId="0" fontId="0" fillId="49" borderId="10" xfId="0" applyFill="1" applyBorder="1"/>
    <xf numFmtId="10" fontId="32" fillId="49" borderId="40" xfId="0" applyNumberFormat="1" applyFont="1" applyFill="1" applyBorder="1" applyAlignment="1">
      <alignment horizontal="center" vertical="center"/>
    </xf>
    <xf numFmtId="0" fontId="16" fillId="49" borderId="41" xfId="0" applyFont="1" applyFill="1" applyBorder="1"/>
    <xf numFmtId="0" fontId="0" fillId="49" borderId="43" xfId="0" applyFill="1" applyBorder="1"/>
    <xf numFmtId="10" fontId="32" fillId="49" borderId="42" xfId="0" applyNumberFormat="1" applyFont="1" applyFill="1" applyBorder="1" applyAlignment="1">
      <alignment horizontal="center" vertical="center"/>
    </xf>
    <xf numFmtId="0" fontId="16" fillId="48" borderId="23" xfId="0" applyFont="1" applyFill="1" applyBorder="1"/>
    <xf numFmtId="0" fontId="0" fillId="48" borderId="13" xfId="0" applyFill="1" applyBorder="1"/>
    <xf numFmtId="0" fontId="0" fillId="48" borderId="72" xfId="0" applyFill="1" applyBorder="1"/>
    <xf numFmtId="10" fontId="32" fillId="48" borderId="25" xfId="0" applyNumberFormat="1" applyFont="1" applyFill="1" applyBorder="1" applyAlignment="1">
      <alignment horizontal="center" vertical="center"/>
    </xf>
    <xf numFmtId="0" fontId="16" fillId="49" borderId="12" xfId="0" applyFont="1" applyFill="1" applyBorder="1"/>
    <xf numFmtId="0" fontId="0" fillId="49" borderId="13" xfId="0" applyFill="1" applyBorder="1"/>
    <xf numFmtId="10" fontId="32" fillId="49" borderId="14" xfId="0" applyNumberFormat="1" applyFont="1" applyFill="1" applyBorder="1" applyAlignment="1">
      <alignment horizontal="center" vertical="center"/>
    </xf>
    <xf numFmtId="3" fontId="0" fillId="0" borderId="0" xfId="0" applyNumberFormat="1" applyProtection="1">
      <protection locked="0"/>
    </xf>
    <xf numFmtId="3" fontId="18" fillId="33" borderId="62" xfId="0" applyNumberFormat="1" applyFont="1" applyFill="1" applyBorder="1" applyAlignment="1" applyProtection="1">
      <alignment horizontal="center" vertical="center"/>
      <protection locked="0"/>
    </xf>
    <xf numFmtId="3" fontId="18" fillId="33" borderId="10" xfId="0" applyNumberFormat="1" applyFont="1" applyFill="1" applyBorder="1" applyAlignment="1" applyProtection="1">
      <alignment horizontal="center" vertical="center"/>
      <protection locked="0"/>
    </xf>
    <xf numFmtId="3" fontId="18" fillId="33" borderId="39" xfId="0" applyNumberFormat="1" applyFont="1" applyFill="1" applyBorder="1" applyAlignment="1" applyProtection="1">
      <alignment horizontal="center" vertical="center"/>
      <protection locked="0"/>
    </xf>
    <xf numFmtId="3" fontId="0" fillId="44" borderId="27" xfId="0" applyNumberFormat="1" applyFill="1" applyBorder="1" applyProtection="1">
      <protection locked="0"/>
    </xf>
    <xf numFmtId="3" fontId="0" fillId="44" borderId="10" xfId="0" applyNumberFormat="1" applyFill="1" applyBorder="1" applyProtection="1">
      <protection locked="0"/>
    </xf>
    <xf numFmtId="3" fontId="0" fillId="44" borderId="43" xfId="0" applyNumberFormat="1" applyFill="1" applyBorder="1" applyProtection="1">
      <protection locked="0"/>
    </xf>
    <xf numFmtId="0" fontId="47" fillId="0" borderId="0" xfId="0" applyFont="1" applyProtection="1">
      <protection locked="0"/>
    </xf>
    <xf numFmtId="0" fontId="25" fillId="0" borderId="0" xfId="0" applyFont="1" applyProtection="1">
      <protection locked="0"/>
    </xf>
    <xf numFmtId="0" fontId="19" fillId="0" borderId="0" xfId="0" applyFont="1" applyProtection="1">
      <protection locked="0"/>
    </xf>
    <xf numFmtId="0" fontId="70" fillId="0" borderId="0" xfId="0" applyFont="1" applyProtection="1">
      <protection locked="0"/>
    </xf>
    <xf numFmtId="0" fontId="54" fillId="43" borderId="0" xfId="45" applyFill="1"/>
    <xf numFmtId="0" fontId="16" fillId="45" borderId="0" xfId="0" applyFont="1" applyFill="1" applyAlignment="1">
      <alignment horizontal="center"/>
    </xf>
    <xf numFmtId="0" fontId="47" fillId="43" borderId="0" xfId="0" applyFont="1" applyFill="1" applyAlignment="1">
      <alignment horizontal="center"/>
    </xf>
    <xf numFmtId="0" fontId="47" fillId="0" borderId="0" xfId="0" applyFont="1" applyAlignment="1">
      <alignment horizontal="center"/>
    </xf>
    <xf numFmtId="0" fontId="47" fillId="45" borderId="0" xfId="0" applyFont="1" applyFill="1" applyAlignment="1">
      <alignment horizontal="center"/>
    </xf>
    <xf numFmtId="0" fontId="0" fillId="43" borderId="0" xfId="0" applyFill="1" applyAlignment="1">
      <alignment horizontal="center"/>
    </xf>
    <xf numFmtId="0" fontId="8" fillId="4" borderId="0" xfId="8"/>
    <xf numFmtId="0" fontId="54" fillId="0" borderId="0" xfId="45" applyFill="1"/>
    <xf numFmtId="0" fontId="16" fillId="0" borderId="0" xfId="0" applyFont="1" applyAlignment="1">
      <alignment horizontal="center"/>
    </xf>
    <xf numFmtId="0" fontId="0" fillId="55" borderId="0" xfId="0" applyFill="1"/>
    <xf numFmtId="0" fontId="0" fillId="56" borderId="0" xfId="0" applyFill="1"/>
    <xf numFmtId="0" fontId="0" fillId="57" borderId="0" xfId="0" applyFill="1"/>
    <xf numFmtId="0" fontId="0" fillId="58" borderId="0" xfId="0" applyFill="1"/>
    <xf numFmtId="0" fontId="8" fillId="29" borderId="0" xfId="8" applyFill="1"/>
    <xf numFmtId="0" fontId="29" fillId="43" borderId="23" xfId="0" applyFont="1" applyFill="1" applyBorder="1" applyAlignment="1">
      <alignment horizontal="center" vertical="center" wrapText="1"/>
    </xf>
    <xf numFmtId="0" fontId="29" fillId="43" borderId="24" xfId="0" applyFont="1" applyFill="1" applyBorder="1" applyAlignment="1">
      <alignment horizontal="center" vertical="center" wrapText="1"/>
    </xf>
    <xf numFmtId="0" fontId="29" fillId="43" borderId="25" xfId="0" applyFont="1" applyFill="1" applyBorder="1" applyAlignment="1">
      <alignment horizontal="center" vertical="center" wrapText="1"/>
    </xf>
    <xf numFmtId="0" fontId="24" fillId="38" borderId="15" xfId="0" applyFont="1" applyFill="1" applyBorder="1" applyAlignment="1" applyProtection="1">
      <alignment horizontal="center"/>
      <protection locked="0"/>
    </xf>
    <xf numFmtId="0" fontId="24" fillId="38" borderId="16" xfId="0" applyFont="1" applyFill="1" applyBorder="1" applyAlignment="1" applyProtection="1">
      <alignment horizontal="center"/>
      <protection locked="0"/>
    </xf>
    <xf numFmtId="0" fontId="24" fillId="38" borderId="17" xfId="0" applyFont="1" applyFill="1" applyBorder="1" applyAlignment="1" applyProtection="1">
      <alignment horizontal="center"/>
      <protection locked="0"/>
    </xf>
    <xf numFmtId="0" fontId="24" fillId="38" borderId="20" xfId="0" applyFont="1" applyFill="1" applyBorder="1" applyAlignment="1" applyProtection="1">
      <alignment horizontal="center"/>
      <protection locked="0"/>
    </xf>
    <xf numFmtId="0" fontId="24" fillId="38" borderId="21" xfId="0" applyFont="1" applyFill="1" applyBorder="1" applyAlignment="1" applyProtection="1">
      <alignment horizontal="center"/>
      <protection locked="0"/>
    </xf>
    <xf numFmtId="0" fontId="24" fillId="38" borderId="22" xfId="0" applyFont="1" applyFill="1" applyBorder="1" applyAlignment="1" applyProtection="1">
      <alignment horizontal="center"/>
      <protection locked="0"/>
    </xf>
    <xf numFmtId="0" fontId="0" fillId="50" borderId="41" xfId="0" applyFill="1" applyBorder="1" applyAlignment="1" applyProtection="1">
      <alignment horizontal="center"/>
      <protection locked="0"/>
    </xf>
    <xf numFmtId="0" fontId="0" fillId="50" borderId="42" xfId="0" applyFill="1" applyBorder="1" applyAlignment="1" applyProtection="1">
      <alignment horizontal="center"/>
      <protection locked="0"/>
    </xf>
    <xf numFmtId="0" fontId="16" fillId="38" borderId="15" xfId="0" applyFont="1" applyFill="1" applyBorder="1" applyAlignment="1" applyProtection="1">
      <alignment horizontal="center"/>
      <protection locked="0"/>
    </xf>
    <xf numFmtId="0" fontId="16" fillId="38" borderId="17" xfId="0" applyFont="1" applyFill="1" applyBorder="1" applyAlignment="1" applyProtection="1">
      <alignment horizontal="center"/>
      <protection locked="0"/>
    </xf>
    <xf numFmtId="0" fontId="0" fillId="33" borderId="37" xfId="0" applyFill="1" applyBorder="1" applyAlignment="1" applyProtection="1">
      <alignment horizontal="center"/>
      <protection locked="0"/>
    </xf>
    <xf numFmtId="0" fontId="0" fillId="33" borderId="28" xfId="0" applyFill="1" applyBorder="1" applyAlignment="1" applyProtection="1">
      <alignment horizontal="center"/>
      <protection locked="0"/>
    </xf>
    <xf numFmtId="0" fontId="0" fillId="44" borderId="39" xfId="0" applyFill="1" applyBorder="1" applyAlignment="1" applyProtection="1">
      <alignment horizontal="center"/>
      <protection locked="0"/>
    </xf>
    <xf numFmtId="0" fontId="0" fillId="44" borderId="40" xfId="0" applyFill="1" applyBorder="1" applyAlignment="1" applyProtection="1">
      <alignment horizontal="center"/>
      <protection locked="0"/>
    </xf>
    <xf numFmtId="0" fontId="0" fillId="42" borderId="93" xfId="0" applyFill="1" applyBorder="1" applyAlignment="1" applyProtection="1">
      <alignment horizontal="center"/>
      <protection locked="0"/>
    </xf>
    <xf numFmtId="0" fontId="0" fillId="42" borderId="58" xfId="0" applyFill="1" applyBorder="1" applyAlignment="1" applyProtection="1">
      <alignment horizontal="center"/>
      <protection locked="0"/>
    </xf>
    <xf numFmtId="0" fontId="0" fillId="33" borderId="33" xfId="0" applyFill="1" applyBorder="1" applyAlignment="1" applyProtection="1">
      <alignment horizontal="center" vertical="center"/>
      <protection locked="0"/>
    </xf>
    <xf numFmtId="0" fontId="0" fillId="33" borderId="35" xfId="0" applyFill="1" applyBorder="1" applyAlignment="1" applyProtection="1">
      <alignment horizontal="center" vertical="center"/>
      <protection locked="0"/>
    </xf>
    <xf numFmtId="0" fontId="24" fillId="38" borderId="23" xfId="0" applyFont="1" applyFill="1" applyBorder="1" applyAlignment="1" applyProtection="1">
      <alignment horizontal="center"/>
      <protection locked="0"/>
    </xf>
    <xf numFmtId="0" fontId="24" fillId="38" borderId="24" xfId="0" applyFont="1" applyFill="1" applyBorder="1" applyAlignment="1" applyProtection="1">
      <alignment horizontal="center"/>
      <protection locked="0"/>
    </xf>
    <xf numFmtId="0" fontId="24" fillId="38" borderId="25" xfId="0" applyFont="1" applyFill="1" applyBorder="1" applyAlignment="1" applyProtection="1">
      <alignment horizontal="center"/>
      <protection locked="0"/>
    </xf>
    <xf numFmtId="0" fontId="0" fillId="36" borderId="0" xfId="0" applyFill="1" applyAlignment="1" applyProtection="1">
      <alignment horizontal="left" wrapText="1"/>
      <protection locked="0"/>
    </xf>
    <xf numFmtId="0" fontId="16" fillId="38" borderId="23" xfId="0" applyFont="1" applyFill="1" applyBorder="1" applyAlignment="1" applyProtection="1">
      <alignment horizontal="center"/>
      <protection locked="0"/>
    </xf>
    <xf numFmtId="0" fontId="16" fillId="38" borderId="24" xfId="0" applyFont="1" applyFill="1" applyBorder="1" applyAlignment="1" applyProtection="1">
      <alignment horizontal="center"/>
      <protection locked="0"/>
    </xf>
    <xf numFmtId="0" fontId="16" fillId="38" borderId="25" xfId="0" applyFont="1" applyFill="1" applyBorder="1" applyAlignment="1" applyProtection="1">
      <alignment horizontal="center"/>
      <protection locked="0"/>
    </xf>
    <xf numFmtId="0" fontId="0" fillId="0" borderId="36" xfId="0" applyBorder="1" applyAlignment="1" applyProtection="1">
      <alignment horizontal="center" vertical="center"/>
      <protection locked="0"/>
    </xf>
    <xf numFmtId="0" fontId="0" fillId="0" borderId="90" xfId="0" applyBorder="1" applyAlignment="1" applyProtection="1">
      <alignment horizontal="center" vertical="center"/>
      <protection locked="0"/>
    </xf>
    <xf numFmtId="0" fontId="0" fillId="0" borderId="37" xfId="0" applyBorder="1" applyAlignment="1" applyProtection="1">
      <alignment horizontal="center" wrapText="1"/>
      <protection locked="0"/>
    </xf>
    <xf numFmtId="0" fontId="0" fillId="0" borderId="41" xfId="0" applyBorder="1" applyAlignment="1" applyProtection="1">
      <alignment horizontal="center" wrapText="1"/>
      <protection locked="0"/>
    </xf>
    <xf numFmtId="0" fontId="0" fillId="0" borderId="38" xfId="0" applyBorder="1" applyAlignment="1" applyProtection="1">
      <alignment horizontal="center" wrapText="1"/>
      <protection locked="0"/>
    </xf>
    <xf numFmtId="0" fontId="0" fillId="0" borderId="43" xfId="0" applyBorder="1" applyAlignment="1" applyProtection="1">
      <alignment horizontal="center" wrapText="1"/>
      <protection locked="0"/>
    </xf>
    <xf numFmtId="0" fontId="0" fillId="0" borderId="28" xfId="0" applyBorder="1" applyAlignment="1" applyProtection="1">
      <alignment horizontal="center" wrapText="1"/>
      <protection locked="0"/>
    </xf>
    <xf numFmtId="0" fontId="0" fillId="0" borderId="42" xfId="0" applyBorder="1" applyAlignment="1" applyProtection="1">
      <alignment horizontal="center" wrapText="1"/>
      <protection locked="0"/>
    </xf>
    <xf numFmtId="0" fontId="0" fillId="36" borderId="68" xfId="0" applyFill="1" applyBorder="1" applyAlignment="1" applyProtection="1">
      <alignment horizontal="left"/>
      <protection locked="0"/>
    </xf>
    <xf numFmtId="0" fontId="0" fillId="36" borderId="69" xfId="0" applyFill="1" applyBorder="1" applyAlignment="1" applyProtection="1">
      <alignment horizontal="left"/>
      <protection locked="0"/>
    </xf>
    <xf numFmtId="0" fontId="0" fillId="36" borderId="70" xfId="0" applyFill="1" applyBorder="1" applyAlignment="1" applyProtection="1">
      <alignment horizontal="left"/>
      <protection locked="0"/>
    </xf>
    <xf numFmtId="0" fontId="0" fillId="36" borderId="71" xfId="0" applyFill="1" applyBorder="1" applyAlignment="1" applyProtection="1">
      <alignment horizontal="left"/>
      <protection locked="0"/>
    </xf>
    <xf numFmtId="0" fontId="16" fillId="38" borderId="12" xfId="0" applyFont="1" applyFill="1" applyBorder="1" applyAlignment="1" applyProtection="1">
      <alignment horizontal="center" vertical="center"/>
      <protection locked="0"/>
    </xf>
    <xf numFmtId="0" fontId="16" fillId="38" borderId="13" xfId="0" applyFont="1" applyFill="1" applyBorder="1" applyAlignment="1" applyProtection="1">
      <alignment horizontal="center" vertical="center"/>
      <protection locked="0"/>
    </xf>
    <xf numFmtId="0" fontId="16" fillId="38" borderId="14" xfId="0" applyFont="1" applyFill="1" applyBorder="1" applyAlignment="1" applyProtection="1">
      <alignment horizontal="center" vertical="center"/>
      <protection locked="0"/>
    </xf>
    <xf numFmtId="0" fontId="16" fillId="38" borderId="12" xfId="0" applyFont="1" applyFill="1" applyBorder="1" applyAlignment="1" applyProtection="1">
      <alignment horizontal="center"/>
      <protection locked="0"/>
    </xf>
    <xf numFmtId="0" fontId="16" fillId="38" borderId="14" xfId="0" applyFont="1" applyFill="1" applyBorder="1" applyAlignment="1" applyProtection="1">
      <alignment horizontal="center"/>
      <protection locked="0"/>
    </xf>
    <xf numFmtId="0" fontId="16" fillId="38" borderId="23" xfId="0" applyFont="1" applyFill="1" applyBorder="1" applyAlignment="1" applyProtection="1">
      <alignment horizontal="center" vertical="center"/>
      <protection locked="0"/>
    </xf>
    <xf numFmtId="0" fontId="16" fillId="38" borderId="24" xfId="0" applyFont="1" applyFill="1" applyBorder="1" applyAlignment="1" applyProtection="1">
      <alignment horizontal="center" vertical="center"/>
      <protection locked="0"/>
    </xf>
    <xf numFmtId="0" fontId="16" fillId="38" borderId="25" xfId="0" applyFont="1" applyFill="1" applyBorder="1" applyAlignment="1" applyProtection="1">
      <alignment horizontal="center" vertical="center"/>
      <protection locked="0"/>
    </xf>
    <xf numFmtId="0" fontId="0" fillId="36" borderId="57" xfId="0" applyFill="1" applyBorder="1" applyAlignment="1" applyProtection="1">
      <alignment horizontal="center" wrapText="1"/>
      <protection locked="0"/>
    </xf>
    <xf numFmtId="0" fontId="0" fillId="36" borderId="48" xfId="0" applyFill="1" applyBorder="1" applyAlignment="1" applyProtection="1">
      <alignment horizontal="center" wrapText="1"/>
      <protection locked="0"/>
    </xf>
    <xf numFmtId="0" fontId="0" fillId="36" borderId="0" xfId="0" applyFill="1" applyAlignment="1" applyProtection="1">
      <alignment horizontal="left" vertical="top" wrapText="1"/>
      <protection locked="0"/>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36" xfId="0" applyBorder="1" applyAlignment="1" applyProtection="1">
      <alignment horizontal="center" wrapText="1"/>
      <protection locked="0"/>
    </xf>
    <xf numFmtId="0" fontId="0" fillId="0" borderId="34" xfId="0" applyBorder="1" applyAlignment="1" applyProtection="1">
      <alignment horizontal="center" wrapText="1"/>
      <protection locked="0"/>
    </xf>
    <xf numFmtId="0" fontId="0" fillId="42" borderId="41" xfId="0" applyFill="1" applyBorder="1" applyAlignment="1" applyProtection="1">
      <alignment horizontal="center"/>
      <protection locked="0"/>
    </xf>
    <xf numFmtId="0" fontId="0" fillId="42" borderId="42" xfId="0" applyFill="1" applyBorder="1" applyAlignment="1" applyProtection="1">
      <alignment horizontal="center"/>
      <protection locked="0"/>
    </xf>
    <xf numFmtId="0" fontId="0" fillId="0" borderId="0" xfId="0" applyAlignment="1">
      <alignment horizontal="left" vertical="top" wrapText="1"/>
    </xf>
    <xf numFmtId="0" fontId="0" fillId="0" borderId="63" xfId="0" applyBorder="1" applyAlignment="1">
      <alignment horizontal="left" vertical="center" wrapText="1"/>
    </xf>
    <xf numFmtId="0" fontId="0" fillId="0" borderId="62" xfId="0" applyBorder="1" applyAlignment="1">
      <alignment horizontal="left" vertical="center" wrapText="1"/>
    </xf>
    <xf numFmtId="0" fontId="27" fillId="0" borderId="53" xfId="0" applyFont="1" applyBorder="1" applyAlignment="1">
      <alignment horizontal="left" vertical="center" wrapText="1"/>
    </xf>
    <xf numFmtId="0" fontId="27" fillId="0" borderId="54" xfId="0" applyFont="1" applyBorder="1" applyAlignment="1">
      <alignment horizontal="left" vertical="center" wrapText="1"/>
    </xf>
    <xf numFmtId="0" fontId="27" fillId="0" borderId="55" xfId="0" applyFont="1" applyBorder="1" applyAlignment="1">
      <alignment horizontal="left" vertical="center" wrapText="1"/>
    </xf>
    <xf numFmtId="0" fontId="0" fillId="0" borderId="51" xfId="0" applyBorder="1" applyAlignment="1">
      <alignment horizontal="left" vertical="center" wrapText="1"/>
    </xf>
    <xf numFmtId="0" fontId="0" fillId="0" borderId="64" xfId="0" applyBorder="1" applyAlignment="1">
      <alignment horizontal="left" vertical="center" wrapText="1"/>
    </xf>
    <xf numFmtId="0" fontId="0" fillId="0" borderId="0" xfId="0" applyAlignment="1">
      <alignment horizontal="left" vertical="center" wrapText="1"/>
    </xf>
    <xf numFmtId="0" fontId="0" fillId="0" borderId="30" xfId="0" applyBorder="1" applyAlignment="1">
      <alignment horizontal="left" vertical="center" wrapText="1"/>
    </xf>
    <xf numFmtId="0" fontId="0" fillId="0" borderId="52" xfId="0" applyBorder="1" applyAlignment="1">
      <alignment horizontal="left" vertical="center" wrapText="1"/>
    </xf>
    <xf numFmtId="0" fontId="0" fillId="0" borderId="65" xfId="0" applyBorder="1" applyAlignment="1">
      <alignment horizontal="left" vertical="center" wrapText="1"/>
    </xf>
    <xf numFmtId="0" fontId="45" fillId="38" borderId="23" xfId="0" applyFont="1" applyFill="1" applyBorder="1" applyAlignment="1">
      <alignment horizontal="center"/>
    </xf>
    <xf numFmtId="0" fontId="45" fillId="38" borderId="24" xfId="0" applyFont="1" applyFill="1" applyBorder="1" applyAlignment="1">
      <alignment horizontal="center"/>
    </xf>
    <xf numFmtId="0" fontId="45" fillId="38" borderId="25" xfId="0" applyFont="1" applyFill="1" applyBorder="1" applyAlignment="1">
      <alignment horizontal="center"/>
    </xf>
    <xf numFmtId="0" fontId="27" fillId="36" borderId="15" xfId="0" applyFont="1" applyFill="1" applyBorder="1" applyAlignment="1">
      <alignment horizontal="left"/>
    </xf>
    <xf numFmtId="0" fontId="27" fillId="36" borderId="16" xfId="0" applyFont="1" applyFill="1" applyBorder="1" applyAlignment="1">
      <alignment horizontal="left"/>
    </xf>
    <xf numFmtId="0" fontId="27" fillId="36" borderId="17" xfId="0" applyFont="1" applyFill="1" applyBorder="1" applyAlignment="1">
      <alignment horizontal="left"/>
    </xf>
    <xf numFmtId="0" fontId="0" fillId="36" borderId="0" xfId="0" applyFill="1" applyAlignment="1">
      <alignment horizontal="left"/>
    </xf>
    <xf numFmtId="0" fontId="0" fillId="36" borderId="19" xfId="0" applyFill="1" applyBorder="1" applyAlignment="1">
      <alignment horizontal="left"/>
    </xf>
    <xf numFmtId="0" fontId="46" fillId="36" borderId="21" xfId="0" applyFont="1" applyFill="1" applyBorder="1" applyAlignment="1">
      <alignment horizontal="left"/>
    </xf>
    <xf numFmtId="0" fontId="46" fillId="36" borderId="22" xfId="0" applyFont="1" applyFill="1" applyBorder="1" applyAlignment="1">
      <alignment horizontal="left"/>
    </xf>
    <xf numFmtId="0" fontId="0" fillId="38" borderId="11" xfId="0" applyFill="1" applyBorder="1" applyAlignment="1" applyProtection="1">
      <alignment horizontal="left"/>
      <protection locked="0"/>
    </xf>
    <xf numFmtId="0" fontId="0" fillId="38" borderId="77" xfId="0" applyFill="1" applyBorder="1" applyAlignment="1" applyProtection="1">
      <alignment horizontal="left"/>
      <protection locked="0"/>
    </xf>
    <xf numFmtId="0" fontId="0" fillId="38" borderId="75" xfId="0" applyFill="1" applyBorder="1" applyAlignment="1" applyProtection="1">
      <alignment horizontal="left"/>
      <protection locked="0"/>
    </xf>
    <xf numFmtId="0" fontId="0" fillId="36" borderId="73" xfId="0" applyFill="1" applyBorder="1" applyAlignment="1" applyProtection="1">
      <alignment horizontal="left" vertical="top" wrapText="1"/>
      <protection locked="0"/>
    </xf>
    <xf numFmtId="0" fontId="0" fillId="36" borderId="16" xfId="0" applyFill="1" applyBorder="1" applyAlignment="1" applyProtection="1">
      <alignment horizontal="left" vertical="top" wrapText="1"/>
      <protection locked="0"/>
    </xf>
    <xf numFmtId="0" fontId="0" fillId="36" borderId="17" xfId="0" applyFill="1" applyBorder="1" applyAlignment="1" applyProtection="1">
      <alignment horizontal="left" vertical="top" wrapText="1"/>
      <protection locked="0"/>
    </xf>
    <xf numFmtId="0" fontId="0" fillId="36" borderId="54" xfId="0" applyFill="1" applyBorder="1" applyAlignment="1" applyProtection="1">
      <alignment horizontal="left" vertical="top" wrapText="1"/>
      <protection locked="0"/>
    </xf>
    <xf numFmtId="0" fontId="0" fillId="36" borderId="19" xfId="0" applyFill="1" applyBorder="1" applyAlignment="1" applyProtection="1">
      <alignment horizontal="left" vertical="top" wrapText="1"/>
      <protection locked="0"/>
    </xf>
    <xf numFmtId="0" fontId="0" fillId="36" borderId="11" xfId="0" applyFill="1" applyBorder="1" applyAlignment="1" applyProtection="1">
      <alignment horizontal="center" vertical="center"/>
      <protection locked="0"/>
    </xf>
    <xf numFmtId="0" fontId="0" fillId="36" borderId="59" xfId="0" applyFill="1" applyBorder="1" applyAlignment="1" applyProtection="1">
      <alignment horizontal="center" vertical="center"/>
      <protection locked="0"/>
    </xf>
    <xf numFmtId="0" fontId="0" fillId="0" borderId="16" xfId="0" applyBorder="1" applyAlignment="1" applyProtection="1">
      <alignment horizontal="center" vertical="center" wrapText="1"/>
      <protection locked="0"/>
    </xf>
    <xf numFmtId="0" fontId="0" fillId="0" borderId="21" xfId="0" applyBorder="1" applyAlignment="1" applyProtection="1">
      <alignment horizontal="center" vertical="center" wrapText="1"/>
      <protection locked="0"/>
    </xf>
    <xf numFmtId="0" fontId="28" fillId="38" borderId="15" xfId="0" applyFont="1" applyFill="1" applyBorder="1" applyAlignment="1" applyProtection="1">
      <alignment horizontal="left" vertical="center"/>
      <protection locked="0"/>
    </xf>
    <xf numFmtId="0" fontId="28" fillId="38" borderId="16" xfId="0" applyFont="1" applyFill="1" applyBorder="1" applyAlignment="1" applyProtection="1">
      <alignment horizontal="left" vertical="center"/>
      <protection locked="0"/>
    </xf>
    <xf numFmtId="0" fontId="28" fillId="38" borderId="24" xfId="0" applyFont="1" applyFill="1" applyBorder="1" applyAlignment="1" applyProtection="1">
      <alignment horizontal="left" vertical="center"/>
      <protection locked="0"/>
    </xf>
    <xf numFmtId="0" fontId="28" fillId="38" borderId="25" xfId="0" applyFont="1" applyFill="1" applyBorder="1" applyAlignment="1" applyProtection="1">
      <alignment horizontal="left" vertical="center"/>
      <protection locked="0"/>
    </xf>
    <xf numFmtId="0" fontId="0" fillId="0" borderId="17" xfId="0" applyBorder="1" applyAlignment="1" applyProtection="1">
      <alignment horizontal="center" vertical="center" wrapText="1"/>
      <protection locked="0"/>
    </xf>
    <xf numFmtId="0" fontId="0" fillId="0" borderId="22" xfId="0" applyBorder="1" applyAlignment="1" applyProtection="1">
      <alignment horizontal="center" vertical="center" wrapText="1"/>
      <protection locked="0"/>
    </xf>
    <xf numFmtId="0" fontId="16" fillId="0" borderId="23" xfId="0" applyFont="1" applyBorder="1" applyAlignment="1">
      <alignment horizontal="center" vertical="center" wrapText="1"/>
    </xf>
    <xf numFmtId="0" fontId="16" fillId="0" borderId="24" xfId="0" applyFont="1" applyBorder="1" applyAlignment="1">
      <alignment horizontal="center" vertical="center" wrapText="1"/>
    </xf>
    <xf numFmtId="0" fontId="0" fillId="0" borderId="15" xfId="0" applyBorder="1" applyAlignment="1" applyProtection="1">
      <alignment horizontal="center" vertical="center" wrapText="1"/>
      <protection locked="0"/>
    </xf>
    <xf numFmtId="0" fontId="0" fillId="0" borderId="20" xfId="0" applyBorder="1" applyAlignment="1" applyProtection="1">
      <alignment horizontal="center" vertical="center" wrapText="1"/>
      <protection locked="0"/>
    </xf>
    <xf numFmtId="0" fontId="28" fillId="39" borderId="23" xfId="0" applyFont="1" applyFill="1" applyBorder="1" applyAlignment="1" applyProtection="1">
      <alignment horizontal="center" vertical="center"/>
      <protection locked="0"/>
    </xf>
    <xf numFmtId="0" fontId="28" fillId="39" borderId="24" xfId="0" applyFont="1" applyFill="1"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0" fillId="0" borderId="48" xfId="0" applyBorder="1" applyAlignment="1" applyProtection="1">
      <alignment horizontal="center" vertical="center"/>
      <protection locked="0"/>
    </xf>
    <xf numFmtId="0" fontId="0" fillId="36" borderId="51" xfId="0" applyFill="1" applyBorder="1" applyAlignment="1" applyProtection="1">
      <alignment horizontal="left" vertical="center" wrapText="1"/>
      <protection locked="0"/>
    </xf>
    <xf numFmtId="0" fontId="0" fillId="36" borderId="58" xfId="0" applyFill="1" applyBorder="1" applyAlignment="1" applyProtection="1">
      <alignment horizontal="left" vertical="center" wrapText="1"/>
      <protection locked="0"/>
    </xf>
    <xf numFmtId="0" fontId="0" fillId="36" borderId="21" xfId="0" applyFill="1" applyBorder="1" applyAlignment="1" applyProtection="1">
      <alignment horizontal="left" vertical="center" wrapText="1"/>
      <protection locked="0"/>
    </xf>
    <xf numFmtId="0" fontId="0" fillId="36" borderId="22" xfId="0" applyFill="1" applyBorder="1" applyAlignment="1" applyProtection="1">
      <alignment horizontal="left" vertical="center" wrapText="1"/>
      <protection locked="0"/>
    </xf>
    <xf numFmtId="0" fontId="0" fillId="36" borderId="51" xfId="0" applyFill="1" applyBorder="1" applyProtection="1">
      <protection locked="0"/>
    </xf>
    <xf numFmtId="0" fontId="0" fillId="36" borderId="58" xfId="0" applyFill="1" applyBorder="1" applyProtection="1">
      <protection locked="0"/>
    </xf>
    <xf numFmtId="0" fontId="0" fillId="36" borderId="0" xfId="0" quotePrefix="1" applyFill="1" applyAlignment="1" applyProtection="1">
      <alignment horizontal="left" wrapText="1"/>
      <protection locked="0"/>
    </xf>
    <xf numFmtId="0" fontId="0" fillId="36" borderId="19" xfId="0" quotePrefix="1" applyFill="1" applyBorder="1" applyAlignment="1" applyProtection="1">
      <alignment horizontal="left" wrapText="1"/>
      <protection locked="0"/>
    </xf>
    <xf numFmtId="0" fontId="0" fillId="36" borderId="19" xfId="0" applyFill="1" applyBorder="1" applyAlignment="1" applyProtection="1">
      <alignment horizontal="left" wrapText="1"/>
      <protection locked="0"/>
    </xf>
    <xf numFmtId="0" fontId="0" fillId="36" borderId="52" xfId="0" applyFill="1" applyBorder="1" applyAlignment="1" applyProtection="1">
      <alignment horizontal="left" wrapText="1"/>
      <protection locked="0"/>
    </xf>
    <xf numFmtId="0" fontId="0" fillId="36" borderId="56" xfId="0" applyFill="1" applyBorder="1" applyAlignment="1" applyProtection="1">
      <alignment horizontal="left" wrapText="1"/>
      <protection locked="0"/>
    </xf>
    <xf numFmtId="0" fontId="0" fillId="0" borderId="59" xfId="0" applyBorder="1" applyAlignment="1" applyProtection="1">
      <alignment horizontal="center" vertical="center"/>
      <protection locked="0"/>
    </xf>
    <xf numFmtId="0" fontId="0" fillId="0" borderId="44" xfId="0" applyBorder="1" applyAlignment="1" applyProtection="1">
      <alignment horizontal="center" vertical="center"/>
      <protection locked="0"/>
    </xf>
    <xf numFmtId="0" fontId="28" fillId="39" borderId="23" xfId="0" applyFont="1" applyFill="1" applyBorder="1" applyAlignment="1" applyProtection="1">
      <alignment horizontal="left" vertical="center"/>
      <protection locked="0"/>
    </xf>
    <xf numFmtId="0" fontId="28" fillId="39" borderId="24" xfId="0" applyFont="1" applyFill="1" applyBorder="1" applyAlignment="1" applyProtection="1">
      <alignment horizontal="left" vertical="center"/>
      <protection locked="0"/>
    </xf>
    <xf numFmtId="0" fontId="28" fillId="38" borderId="23" xfId="0" applyFont="1" applyFill="1" applyBorder="1" applyAlignment="1" applyProtection="1">
      <alignment horizontal="left" vertical="center"/>
      <protection locked="0"/>
    </xf>
    <xf numFmtId="0" fontId="67" fillId="36" borderId="66" xfId="0" applyFont="1" applyFill="1" applyBorder="1" applyAlignment="1" applyProtection="1">
      <alignment horizontal="center" vertical="center" wrapText="1"/>
      <protection locked="0"/>
    </xf>
    <xf numFmtId="0" fontId="67" fillId="36" borderId="27" xfId="0" applyFont="1" applyFill="1" applyBorder="1" applyAlignment="1" applyProtection="1">
      <alignment horizontal="center" vertical="center" wrapText="1"/>
      <protection locked="0"/>
    </xf>
    <xf numFmtId="0" fontId="68" fillId="36" borderId="66" xfId="0" applyFont="1" applyFill="1" applyBorder="1" applyAlignment="1" applyProtection="1">
      <alignment horizontal="center" vertical="center" wrapText="1"/>
      <protection locked="0"/>
    </xf>
    <xf numFmtId="0" fontId="68" fillId="36" borderId="27" xfId="0" applyFont="1" applyFill="1" applyBorder="1" applyAlignment="1" applyProtection="1">
      <alignment horizontal="center" vertical="center" wrapText="1"/>
      <protection locked="0"/>
    </xf>
    <xf numFmtId="0" fontId="34" fillId="36" borderId="66" xfId="0" applyFont="1" applyFill="1" applyBorder="1" applyAlignment="1">
      <alignment horizontal="center" vertical="center" wrapText="1"/>
    </xf>
    <xf numFmtId="0" fontId="34" fillId="36" borderId="27" xfId="0" applyFont="1" applyFill="1" applyBorder="1" applyAlignment="1">
      <alignment horizontal="center" vertical="center" wrapText="1"/>
    </xf>
    <xf numFmtId="0" fontId="34" fillId="36" borderId="66" xfId="0" applyFont="1" applyFill="1" applyBorder="1" applyAlignment="1">
      <alignment horizontal="center" vertical="center"/>
    </xf>
    <xf numFmtId="0" fontId="34" fillId="36" borderId="27" xfId="0" applyFont="1" applyFill="1" applyBorder="1" applyAlignment="1">
      <alignment horizontal="center" vertical="center"/>
    </xf>
    <xf numFmtId="0" fontId="35" fillId="36" borderId="66" xfId="0" applyFont="1" applyFill="1" applyBorder="1" applyAlignment="1">
      <alignment horizontal="center" vertical="center"/>
    </xf>
    <xf numFmtId="0" fontId="35" fillId="36" borderId="27" xfId="0" applyFont="1" applyFill="1" applyBorder="1" applyAlignment="1">
      <alignment horizontal="center" vertical="center"/>
    </xf>
    <xf numFmtId="0" fontId="35" fillId="36" borderId="66" xfId="0" applyFont="1" applyFill="1" applyBorder="1" applyAlignment="1">
      <alignment horizontal="center" vertical="center" wrapText="1"/>
    </xf>
    <xf numFmtId="0" fontId="35" fillId="36" borderId="27" xfId="0" applyFont="1" applyFill="1" applyBorder="1" applyAlignment="1">
      <alignment horizontal="center" vertical="center" wrapText="1"/>
    </xf>
    <xf numFmtId="0" fontId="16" fillId="0" borderId="26" xfId="0" applyFont="1" applyBorder="1" applyAlignment="1">
      <alignment horizontal="center"/>
    </xf>
    <xf numFmtId="0" fontId="16" fillId="0" borderId="63" xfId="0" applyFont="1" applyBorder="1" applyAlignment="1">
      <alignment horizontal="center"/>
    </xf>
    <xf numFmtId="0" fontId="16" fillId="0" borderId="62" xfId="0" applyFont="1" applyBorder="1" applyAlignment="1">
      <alignment horizontal="center"/>
    </xf>
    <xf numFmtId="0" fontId="16" fillId="0" borderId="10" xfId="0" applyFont="1" applyBorder="1" applyAlignment="1">
      <alignment horizontal="center"/>
    </xf>
    <xf numFmtId="0" fontId="35" fillId="36" borderId="62" xfId="0" applyFont="1" applyFill="1" applyBorder="1" applyAlignment="1">
      <alignment horizontal="center" vertical="center" wrapText="1"/>
    </xf>
    <xf numFmtId="0" fontId="34" fillId="36" borderId="11" xfId="0" applyFont="1" applyFill="1" applyBorder="1" applyAlignment="1" applyProtection="1">
      <alignment horizontal="center" vertical="center" wrapText="1"/>
      <protection locked="0"/>
    </xf>
    <xf numFmtId="0" fontId="34" fillId="36" borderId="48" xfId="0" applyFont="1" applyFill="1" applyBorder="1" applyAlignment="1" applyProtection="1">
      <alignment horizontal="center" vertical="center" wrapText="1"/>
      <protection locked="0"/>
    </xf>
    <xf numFmtId="0" fontId="35" fillId="36" borderId="77" xfId="0" applyFont="1" applyFill="1" applyBorder="1" applyAlignment="1" applyProtection="1">
      <alignment horizontal="center" vertical="center" wrapText="1"/>
      <protection locked="0"/>
    </xf>
    <xf numFmtId="0" fontId="35" fillId="36" borderId="91" xfId="0" applyFont="1" applyFill="1" applyBorder="1" applyAlignment="1" applyProtection="1">
      <alignment horizontal="center" vertical="center" wrapText="1"/>
      <protection locked="0"/>
    </xf>
    <xf numFmtId="0" fontId="35" fillId="36" borderId="75" xfId="0" applyFont="1" applyFill="1" applyBorder="1" applyAlignment="1" applyProtection="1">
      <alignment horizontal="center" vertical="center" wrapText="1"/>
      <protection locked="0"/>
    </xf>
    <xf numFmtId="0" fontId="35" fillId="36" borderId="49" xfId="0" applyFont="1" applyFill="1" applyBorder="1" applyAlignment="1" applyProtection="1">
      <alignment horizontal="center" vertical="center" wrapText="1"/>
      <protection locked="0"/>
    </xf>
    <xf numFmtId="0" fontId="35" fillId="36" borderId="26" xfId="0" applyFont="1" applyFill="1" applyBorder="1" applyAlignment="1">
      <alignment horizontal="center" vertical="center" wrapText="1"/>
    </xf>
    <xf numFmtId="0" fontId="0" fillId="42" borderId="60" xfId="0" applyFill="1" applyBorder="1" applyAlignment="1" applyProtection="1">
      <alignment horizontal="center"/>
      <protection locked="0"/>
    </xf>
    <xf numFmtId="0" fontId="0" fillId="42" borderId="35" xfId="0" applyFill="1" applyBorder="1" applyAlignment="1" applyProtection="1">
      <alignment horizontal="center"/>
      <protection locked="0"/>
    </xf>
    <xf numFmtId="0" fontId="0" fillId="0" borderId="40" xfId="0" applyBorder="1" applyAlignment="1" applyProtection="1">
      <alignment horizontal="left" vertical="top" wrapText="1"/>
      <protection locked="0"/>
    </xf>
    <xf numFmtId="0" fontId="35" fillId="36" borderId="75" xfId="0" applyFont="1" applyFill="1" applyBorder="1" applyAlignment="1">
      <alignment horizontal="center" vertical="center" wrapText="1"/>
    </xf>
    <xf numFmtId="0" fontId="35" fillId="36" borderId="78" xfId="0" applyFont="1" applyFill="1" applyBorder="1" applyAlignment="1">
      <alignment horizontal="center" vertical="center" wrapText="1"/>
    </xf>
    <xf numFmtId="0" fontId="34" fillId="36" borderId="11" xfId="0" applyFont="1" applyFill="1" applyBorder="1" applyAlignment="1">
      <alignment horizontal="center" vertical="center" wrapText="1"/>
    </xf>
    <xf numFmtId="0" fontId="34" fillId="36" borderId="59" xfId="0" applyFont="1" applyFill="1" applyBorder="1" applyAlignment="1">
      <alignment horizontal="center" vertical="center" wrapText="1"/>
    </xf>
    <xf numFmtId="0" fontId="30" fillId="38" borderId="15" xfId="0" applyFont="1" applyFill="1" applyBorder="1" applyAlignment="1" applyProtection="1">
      <alignment horizontal="left"/>
      <protection locked="0"/>
    </xf>
    <xf numFmtId="0" fontId="30" fillId="38" borderId="17" xfId="0" applyFont="1" applyFill="1" applyBorder="1" applyAlignment="1" applyProtection="1">
      <alignment horizontal="left"/>
      <protection locked="0"/>
    </xf>
    <xf numFmtId="0" fontId="0" fillId="0" borderId="39" xfId="0" applyBorder="1" applyAlignment="1" applyProtection="1">
      <alignment horizontal="right" vertical="top"/>
      <protection locked="0"/>
    </xf>
    <xf numFmtId="0" fontId="0" fillId="0" borderId="40" xfId="0" applyBorder="1" applyAlignment="1" applyProtection="1">
      <alignment horizontal="left" vertical="top"/>
      <protection locked="0"/>
    </xf>
    <xf numFmtId="0" fontId="0" fillId="0" borderId="42" xfId="0" applyBorder="1" applyAlignment="1" applyProtection="1">
      <alignment horizontal="left" vertical="top"/>
      <protection locked="0"/>
    </xf>
    <xf numFmtId="0" fontId="0" fillId="0" borderId="41" xfId="0" applyBorder="1" applyAlignment="1" applyProtection="1">
      <alignment horizontal="right" vertical="top"/>
      <protection locked="0"/>
    </xf>
    <xf numFmtId="0" fontId="0" fillId="0" borderId="45" xfId="0" applyBorder="1" applyAlignment="1">
      <alignment horizontal="center" vertical="center" wrapText="1"/>
    </xf>
    <xf numFmtId="0" fontId="0" fillId="0" borderId="46" xfId="0" applyBorder="1" applyAlignment="1">
      <alignment horizontal="center" vertical="center" wrapText="1"/>
    </xf>
    <xf numFmtId="0" fontId="0" fillId="0" borderId="47" xfId="0" applyBorder="1" applyAlignment="1">
      <alignment horizontal="center" vertical="center" wrapText="1"/>
    </xf>
    <xf numFmtId="0" fontId="16" fillId="48" borderId="31" xfId="0" applyFont="1" applyFill="1" applyBorder="1" applyAlignment="1">
      <alignment horizontal="left" vertical="top"/>
    </xf>
    <xf numFmtId="0" fontId="16" fillId="48" borderId="86" xfId="0" applyFont="1" applyFill="1" applyBorder="1" applyAlignment="1">
      <alignment horizontal="left" vertical="top"/>
    </xf>
    <xf numFmtId="0" fontId="16" fillId="48" borderId="85" xfId="0" applyFont="1" applyFill="1" applyBorder="1" applyAlignment="1">
      <alignment horizontal="left" vertical="top"/>
    </xf>
    <xf numFmtId="0" fontId="0" fillId="42" borderId="15" xfId="0" applyFill="1" applyBorder="1" applyAlignment="1">
      <alignment horizontal="left" vertical="top" wrapText="1"/>
    </xf>
    <xf numFmtId="0" fontId="0" fillId="42" borderId="16" xfId="0" applyFill="1" applyBorder="1" applyAlignment="1">
      <alignment horizontal="left" vertical="top" wrapText="1"/>
    </xf>
    <xf numFmtId="0" fontId="0" fillId="42" borderId="17" xfId="0" applyFill="1" applyBorder="1" applyAlignment="1">
      <alignment horizontal="left" vertical="top" wrapText="1"/>
    </xf>
    <xf numFmtId="0" fontId="0" fillId="42" borderId="18" xfId="0" applyFill="1" applyBorder="1" applyAlignment="1">
      <alignment horizontal="left" vertical="top" wrapText="1"/>
    </xf>
    <xf numFmtId="0" fontId="0" fillId="42" borderId="0" xfId="0" applyFill="1" applyAlignment="1">
      <alignment horizontal="left" vertical="top" wrapText="1"/>
    </xf>
    <xf numFmtId="0" fontId="0" fillId="42" borderId="19" xfId="0" applyFill="1" applyBorder="1" applyAlignment="1">
      <alignment horizontal="left" vertical="top" wrapText="1"/>
    </xf>
    <xf numFmtId="0" fontId="0" fillId="42" borderId="20" xfId="0" applyFill="1" applyBorder="1" applyAlignment="1">
      <alignment horizontal="left" vertical="top" wrapText="1"/>
    </xf>
    <xf numFmtId="0" fontId="0" fillId="42" borderId="21" xfId="0" applyFill="1" applyBorder="1" applyAlignment="1">
      <alignment horizontal="left" vertical="top" wrapText="1"/>
    </xf>
    <xf numFmtId="0" fontId="0" fillId="42" borderId="22" xfId="0" applyFill="1" applyBorder="1" applyAlignment="1">
      <alignment horizontal="left" vertical="top" wrapText="1"/>
    </xf>
    <xf numFmtId="0" fontId="16" fillId="0" borderId="31" xfId="0" applyFont="1" applyBorder="1" applyAlignment="1" applyProtection="1">
      <alignment horizontal="left" vertical="top"/>
      <protection locked="0"/>
    </xf>
    <xf numFmtId="0" fontId="16" fillId="0" borderId="86" xfId="0" applyFont="1" applyBorder="1" applyAlignment="1" applyProtection="1">
      <alignment horizontal="left" vertical="top"/>
      <protection locked="0"/>
    </xf>
    <xf numFmtId="0" fontId="16" fillId="0" borderId="85" xfId="0" applyFont="1" applyBorder="1" applyAlignment="1" applyProtection="1">
      <alignment horizontal="left" vertical="top"/>
      <protection locked="0"/>
    </xf>
    <xf numFmtId="0" fontId="0" fillId="42" borderId="23" xfId="0" applyFill="1" applyBorder="1" applyAlignment="1">
      <alignment horizontal="left" vertical="center"/>
    </xf>
    <xf numFmtId="0" fontId="0" fillId="42" borderId="24" xfId="0" applyFill="1" applyBorder="1" applyAlignment="1">
      <alignment horizontal="left" vertical="center"/>
    </xf>
    <xf numFmtId="0" fontId="0" fillId="42" borderId="72" xfId="0" applyFill="1" applyBorder="1" applyAlignment="1">
      <alignment horizontal="left" vertical="center"/>
    </xf>
    <xf numFmtId="0" fontId="0" fillId="42" borderId="23" xfId="0" applyFill="1" applyBorder="1" applyAlignment="1">
      <alignment horizontal="left" vertical="center" wrapText="1"/>
    </xf>
    <xf numFmtId="0" fontId="0" fillId="42" borderId="24" xfId="0" applyFill="1" applyBorder="1" applyAlignment="1">
      <alignment horizontal="left" vertical="center" wrapText="1"/>
    </xf>
    <xf numFmtId="0" fontId="0" fillId="42" borderId="72" xfId="0" applyFill="1" applyBorder="1" applyAlignment="1">
      <alignment horizontal="left" vertical="center" wrapText="1"/>
    </xf>
  </cellXfs>
  <cellStyles count="48">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2" builtinId="3"/>
    <cellStyle name="Currency" xfId="43" builtinId="4"/>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5" builtinId="8"/>
    <cellStyle name="Input" xfId="9" builtinId="20" customBuiltin="1"/>
    <cellStyle name="Linked Cell" xfId="12" builtinId="24" customBuiltin="1"/>
    <cellStyle name="Neutral" xfId="8" builtinId="28" customBuiltin="1"/>
    <cellStyle name="Normal" xfId="0" builtinId="0"/>
    <cellStyle name="Normal 2" xfId="44" xr:uid="{93F54A01-2059-4BA0-A191-8144919D4B80}"/>
    <cellStyle name="Normal 2 2" xfId="46" xr:uid="{D199632D-8DB5-4437-A295-6341A2518A3D}"/>
    <cellStyle name="Normal 3" xfId="47" xr:uid="{E597BC38-CE89-41B8-8318-AEBB3DF21AA3}"/>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32">
    <dxf>
      <numFmt numFmtId="19" formatCode="m/d/yyyy"/>
    </dxf>
    <dxf>
      <numFmt numFmtId="0" formatCode="General"/>
    </dxf>
    <dxf>
      <numFmt numFmtId="0" formatCode="General"/>
    </dxf>
    <dxf>
      <numFmt numFmtId="19" formatCode="m/d/yyyy"/>
    </dxf>
    <dxf>
      <numFmt numFmtId="0" formatCode="General"/>
    </dxf>
    <dxf>
      <numFmt numFmtId="0" formatCode="General"/>
    </dxf>
    <dxf>
      <numFmt numFmtId="19" formatCode="m/d/yyyy"/>
    </dxf>
    <dxf>
      <numFmt numFmtId="0" formatCode="General"/>
    </dxf>
    <dxf>
      <numFmt numFmtId="0" formatCode="General"/>
    </dxf>
    <dxf>
      <numFmt numFmtId="19" formatCode="m/d/yyyy"/>
    </dxf>
    <dxf>
      <numFmt numFmtId="0" formatCode="General"/>
    </dxf>
    <dxf>
      <numFmt numFmtId="0" formatCode="General"/>
    </dxf>
    <dxf>
      <numFmt numFmtId="19" formatCode="m/d/yyyy"/>
    </dxf>
    <dxf>
      <numFmt numFmtId="0" formatCode="General"/>
    </dxf>
    <dxf>
      <numFmt numFmtId="0" formatCode="General"/>
    </dxf>
    <dxf>
      <numFmt numFmtId="19" formatCode="m/d/yyyy"/>
    </dxf>
    <dxf>
      <numFmt numFmtId="0" formatCode="General"/>
    </dxf>
    <dxf>
      <numFmt numFmtId="0" formatCode="Genera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b/>
        <i val="0"/>
      </font>
      <fill>
        <patternFill>
          <bgColor rgb="FFFF3399"/>
        </patternFill>
      </fill>
    </dxf>
    <dxf>
      <font>
        <b/>
        <i val="0"/>
      </font>
      <fill>
        <patternFill>
          <bgColor rgb="FF00B0F0"/>
        </patternFill>
      </fill>
    </dxf>
    <dxf>
      <font>
        <b/>
        <i val="0"/>
      </font>
      <fill>
        <patternFill>
          <bgColor rgb="FF00FFFF"/>
        </patternFill>
      </fill>
    </dxf>
    <dxf>
      <font>
        <b/>
        <i val="0"/>
      </font>
      <fill>
        <patternFill>
          <bgColor rgb="FFFF3399"/>
        </patternFill>
      </fill>
    </dxf>
    <dxf>
      <font>
        <b/>
        <i val="0"/>
      </font>
      <fill>
        <patternFill>
          <bgColor rgb="FF00B0F0"/>
        </patternFill>
      </fill>
    </dxf>
    <dxf>
      <font>
        <b/>
        <i val="0"/>
      </font>
      <fill>
        <patternFill>
          <bgColor rgb="FF00B0F0"/>
        </patternFill>
      </fill>
    </dxf>
    <dxf>
      <font>
        <b/>
        <i val="0"/>
      </font>
      <fill>
        <patternFill>
          <bgColor rgb="FF00FFFF"/>
        </patternFill>
      </fill>
    </dxf>
    <dxf>
      <font>
        <b/>
        <i val="0"/>
      </font>
      <fill>
        <patternFill>
          <bgColor rgb="FFFF3399"/>
        </patternFill>
      </fill>
    </dxf>
    <dxf>
      <font>
        <b/>
        <i val="0"/>
      </font>
      <fill>
        <patternFill>
          <bgColor rgb="FF00B0F0"/>
        </patternFill>
      </fill>
    </dxf>
    <dxf>
      <font>
        <b/>
        <i val="0"/>
      </font>
      <fill>
        <patternFill>
          <bgColor rgb="FF00FFFF"/>
        </patternFill>
      </fill>
    </dxf>
  </dxfs>
  <tableStyles count="0" defaultTableStyle="TableStyleMedium2" defaultPivotStyle="PivotStyleLight16"/>
  <colors>
    <mruColors>
      <color rgb="FFADD8E6"/>
      <color rgb="FFFF3399"/>
      <color rgb="FF00FFFF"/>
      <color rgb="FFCC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17/06/relationships/rdRichValueStructure" Target="richData/rdrichvaluestructure.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06/relationships/rdRichValue" Target="richData/rdrichvalue.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microsoft.com/office/2022/11/relationships/FeaturePropertyBag" Target="featurePropertyBag/featurePropertyBag.xml"/><Relationship Id="rId10" Type="http://schemas.openxmlformats.org/officeDocument/2006/relationships/worksheet" Target="worksheets/sheet10.xml"/><Relationship Id="rId19" Type="http://schemas.openxmlformats.org/officeDocument/2006/relationships/externalLink" Target="externalLinks/externalLink2.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microsoft.com/office/2017/06/relationships/rdRichValueTypes" Target="richData/rdRichValueTypes.xml"/><Relationship Id="rId30"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tmp"/><Relationship Id="rId1" Type="http://schemas.openxmlformats.org/officeDocument/2006/relationships/image" Target="../media/image1.tmp"/></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25</xdr:col>
      <xdr:colOff>446076</xdr:colOff>
      <xdr:row>52</xdr:row>
      <xdr:rowOff>166687</xdr:rowOff>
    </xdr:to>
    <xdr:pic>
      <xdr:nvPicPr>
        <xdr:cNvPr id="3" name="Picture 2">
          <a:extLst>
            <a:ext uri="{FF2B5EF4-FFF2-40B4-BE49-F238E27FC236}">
              <a16:creationId xmlns:a16="http://schemas.microsoft.com/office/drawing/2014/main" id="{20266D35-1A52-1A85-F38F-C808A506411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5626545" cy="10072687"/>
        </a:xfrm>
        <a:prstGeom prst="rect">
          <a:avLst/>
        </a:prstGeom>
      </xdr:spPr>
    </xdr:pic>
    <xdr:clientData/>
  </xdr:twoCellAnchor>
  <xdr:twoCellAnchor editAs="oneCell">
    <xdr:from>
      <xdr:col>0</xdr:col>
      <xdr:colOff>0</xdr:colOff>
      <xdr:row>53</xdr:row>
      <xdr:rowOff>33339</xdr:rowOff>
    </xdr:from>
    <xdr:to>
      <xdr:col>25</xdr:col>
      <xdr:colOff>452437</xdr:colOff>
      <xdr:row>105</xdr:row>
      <xdr:rowOff>164307</xdr:rowOff>
    </xdr:to>
    <xdr:pic>
      <xdr:nvPicPr>
        <xdr:cNvPr id="7" name="Picture 6">
          <a:extLst>
            <a:ext uri="{FF2B5EF4-FFF2-40B4-BE49-F238E27FC236}">
              <a16:creationId xmlns:a16="http://schemas.microsoft.com/office/drawing/2014/main" id="{3B9249C3-8CE2-8D7B-36A1-7B07E6CE37B2}"/>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7319" t="6835" r="6876" b="1706"/>
        <a:stretch>
          <a:fillRect/>
        </a:stretch>
      </xdr:blipFill>
      <xdr:spPr>
        <a:xfrm>
          <a:off x="0" y="10129839"/>
          <a:ext cx="15692437" cy="1003696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6</xdr:col>
      <xdr:colOff>22224</xdr:colOff>
      <xdr:row>18</xdr:row>
      <xdr:rowOff>174869</xdr:rowOff>
    </xdr:from>
    <xdr:ext cx="4845686" cy="2602032"/>
    <xdr:pic>
      <xdr:nvPicPr>
        <xdr:cNvPr id="12" name="Picture 11" descr="Aerial of SR 1375 (Lake Wheeler Road) at SR 1390 (Optimist Farm Road)/SR 1503 (Donnybrook Road), unincorporated Wake County near Fuquay-Varina (Nearmap, February 2026). North leg: SR 1375 (Lake Wheeler Road), 45 mph, 2025 AADT: 8900. South leg: SR 1375 (Lake Wheeler Road), 45 mph, 2025 AADT: 7400. West leg: SR 1390 (Optimist Farm Road), 35 mph, 2025 AADT: 4800 (est). East leg: SR 1503 (Donnybrook Road), 45 mph, 2025 AADT: 2400 (est)."/>
        <xdr:cNvPicPr>
          <a:picLocks noChangeAspect="1"/>
        </xdr:cNvPicPr>
      </xdr:nvPicPr>
      <xdr:blipFill>
        <a:blip xmlns:r="http://schemas.openxmlformats.org/officeDocument/2006/relationships" r:embed="rId1" cstate="print"/>
        <a:srcRect/>
        <a:stretch/>
      </xdr:blipFill>
      <xdr:spPr>
        <a:xfrm>
          <a:off x="0" y="0"/>
          <a:ext cx="4845686" cy="2602032"/>
        </a:xfrm>
        <a:prstGeom prst="rect">
          <a:avLst/>
        </a:prstGeom>
        <a:ln w="12700">
          <a:solidFill>
            <a:schemeClr val="tx1"/>
          </a:solidFill>
        </a:ln>
      </xdr:spPr>
    </xdr:pic>
    <xdr:clientData/>
  </xdr:oneCellAnchor>
  <xdr:oneCellAnchor>
    <xdr:from>
      <xdr:col>7</xdr:col>
      <xdr:colOff>1156321</xdr:colOff>
      <xdr:row>19</xdr:row>
      <xdr:rowOff>70049</xdr:rowOff>
    </xdr:from>
    <xdr:ext cx="1750000" cy="580000"/>
    <xdr:sp macro="" textlink="">
      <xdr:nvSpPr>
        <xdr:cNvPr id="13" name="TextBox 12"/>
        <xdr:cNvSpPr txBox="1"/>
      </xdr:nvSpPr>
      <xdr:spPr>
        <a:xfrm>
          <a:off x="0" y="0"/>
          <a:ext cx="1750000" cy="580000"/>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a:t>SR 1375 (Lake Wheeler Road)</a:t>
          </a:r>
          <a:br>
            <a:rPr lang="en-US" sz="1000"/>
          </a:br>
          <a:r>
            <a:rPr lang="en-US" sz="1000"/>
            <a:t>45 mph</a:t>
          </a:r>
          <a:br>
            <a:rPr lang="en-US" sz="1000"/>
          </a:br>
          <a:r>
            <a:rPr lang="en-US" sz="1000"/>
            <a:t>2025 AADT: 8,900</a:t>
          </a:r>
        </a:p>
      </xdr:txBody>
    </xdr:sp>
    <xdr:clientData/>
  </xdr:oneCellAnchor>
  <xdr:oneCellAnchor>
    <xdr:from>
      <xdr:col>6</xdr:col>
      <xdr:colOff>167594</xdr:colOff>
      <xdr:row>23</xdr:row>
      <xdr:rowOff>686213</xdr:rowOff>
    </xdr:from>
    <xdr:ext cx="1750000" cy="580000"/>
    <xdr:sp macro="" textlink="">
      <xdr:nvSpPr>
        <xdr:cNvPr id="14" name="TextBox 13"/>
        <xdr:cNvSpPr txBox="1"/>
      </xdr:nvSpPr>
      <xdr:spPr>
        <a:xfrm>
          <a:off x="0" y="0"/>
          <a:ext cx="1750000" cy="580000"/>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a:t>SR 1375 (Lake Wheeler Road)</a:t>
          </a:r>
          <a:br>
            <a:rPr lang="en-US" sz="1000"/>
          </a:br>
          <a:r>
            <a:rPr lang="en-US" sz="1000"/>
            <a:t>45 mph</a:t>
          </a:r>
          <a:br>
            <a:rPr lang="en-US" sz="1000"/>
          </a:br>
          <a:r>
            <a:rPr lang="en-US" sz="1000"/>
            <a:t>2025 AADT: 7,400</a:t>
          </a:r>
        </a:p>
      </xdr:txBody>
    </xdr:sp>
    <xdr:clientData/>
  </xdr:oneCellAnchor>
  <xdr:oneCellAnchor>
    <xdr:from>
      <xdr:col>6</xdr:col>
      <xdr:colOff>167594</xdr:colOff>
      <xdr:row>22</xdr:row>
      <xdr:rowOff>376744</xdr:rowOff>
    </xdr:from>
    <xdr:ext cx="1750000" cy="580000"/>
    <xdr:sp macro="" textlink="">
      <xdr:nvSpPr>
        <xdr:cNvPr id="15" name="TextBox 14"/>
        <xdr:cNvSpPr txBox="1"/>
      </xdr:nvSpPr>
      <xdr:spPr>
        <a:xfrm>
          <a:off x="0" y="0"/>
          <a:ext cx="1750000" cy="580000"/>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a:t>SR 1390 (Optimist Farm Road)</a:t>
          </a:r>
          <a:br>
            <a:rPr lang="en-US" sz="1000"/>
          </a:br>
          <a:r>
            <a:rPr lang="en-US" sz="1000"/>
            <a:t>35 mph</a:t>
          </a:r>
          <a:br>
            <a:rPr lang="en-US" sz="1000"/>
          </a:br>
          <a:r>
            <a:rPr lang="en-US" sz="1000"/>
            <a:t>2025 AADT: 4,800 (est)</a:t>
          </a:r>
        </a:p>
      </xdr:txBody>
    </xdr:sp>
    <xdr:clientData/>
  </xdr:oneCellAnchor>
  <xdr:oneCellAnchor>
    <xdr:from>
      <xdr:col>7</xdr:col>
      <xdr:colOff>1350149</xdr:colOff>
      <xdr:row>22</xdr:row>
      <xdr:rowOff>90520</xdr:rowOff>
    </xdr:from>
    <xdr:ext cx="1750000" cy="580000"/>
    <xdr:sp macro="" textlink="">
      <xdr:nvSpPr>
        <xdr:cNvPr id="9" name="TextBox 8"/>
        <xdr:cNvSpPr txBox="1"/>
      </xdr:nvSpPr>
      <xdr:spPr>
        <a:xfrm>
          <a:off x="0" y="0"/>
          <a:ext cx="1750000" cy="580000"/>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a:t>SR 1503 (Donnybrook Road)</a:t>
          </a:r>
          <a:br>
            <a:rPr lang="en-US" sz="1000"/>
          </a:br>
          <a:r>
            <a:rPr lang="en-US" sz="1000"/>
            <a:t>45 mph</a:t>
          </a:r>
          <a:br>
            <a:rPr lang="en-US" sz="1000"/>
          </a:br>
          <a:r>
            <a:rPr lang="en-US" sz="1000"/>
            <a:t>2025 AADT: 2,400 (est)</a:t>
          </a:r>
        </a:p>
      </xdr:txBody>
    </xdr:sp>
    <xdr:clientData/>
  </xdr:oneCellAnchor>
  <xdr:oneCellAnchor>
    <xdr:from>
      <xdr:col>6</xdr:col>
      <xdr:colOff>22224</xdr:colOff>
      <xdr:row>18</xdr:row>
      <xdr:rowOff>174869</xdr:rowOff>
    </xdr:from>
    <xdr:ext cx="1668925" cy="896178"/>
    <xdr:pic>
      <xdr:nvPicPr>
        <xdr:cNvPr id="6" name="Picture 5" descr="Location map showing SR 1375 (Lake Wheeler Road) at SR 1390 (Optimist Farm Road)/SR 1503 (Donnybrook Road) in southern Wake County, just south of NC 540 between Holly Springs and Garner and north of Fuquay-Varina."/>
        <xdr:cNvPicPr>
          <a:picLocks noChangeAspect="1"/>
        </xdr:cNvPicPr>
      </xdr:nvPicPr>
      <xdr:blipFill>
        <a:blip xmlns:r="http://schemas.openxmlformats.org/officeDocument/2006/relationships" r:embed="rId2" cstate="print"/>
        <a:srcRect/>
        <a:stretch/>
      </xdr:blipFill>
      <xdr:spPr>
        <a:xfrm>
          <a:off x="0" y="0"/>
          <a:ext cx="1668925" cy="896178"/>
        </a:xfrm>
        <a:prstGeom prst="rect">
          <a:avLst/>
        </a:prstGeom>
        <a:ln w="12700">
          <a:solidFill>
            <a:schemeClr val="tx1"/>
          </a:solidFill>
        </a:ln>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2</xdr:col>
      <xdr:colOff>57150</xdr:colOff>
      <xdr:row>26</xdr:row>
      <xdr:rowOff>125730</xdr:rowOff>
    </xdr:from>
    <xdr:to>
      <xdr:col>5</xdr:col>
      <xdr:colOff>1011779</xdr:colOff>
      <xdr:row>50</xdr:row>
      <xdr:rowOff>179513</xdr:rowOff>
    </xdr:to>
    <xdr:pic>
      <xdr:nvPicPr>
        <xdr:cNvPr id="2" name="Picture 1" descr="AADT count stations used for each leg of SR 1375 (Lake Wheeler Rd) at SR 1390 (Optimist Farm Rd)/SR 1503 (Donny Brook Rd), from NCDOT 2025 AADT station data">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514350" y="5273040"/>
          <a:ext cx="5160869" cy="4526723"/>
        </a:xfrm>
        <a:prstGeom prst="rect">
          <a:avLst/>
        </a:prstGeom>
        <a:ln>
          <a:solidFill>
            <a:schemeClr val="tx1"/>
          </a:solidFill>
        </a:ln>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11430</xdr:colOff>
          <xdr:row>12</xdr:row>
          <xdr:rowOff>114300</xdr:rowOff>
        </xdr:from>
        <xdr:to>
          <xdr:col>2</xdr:col>
          <xdr:colOff>525780</xdr:colOff>
          <xdr:row>15</xdr:row>
          <xdr:rowOff>87630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1" i="0" u="none" strike="noStrike" baseline="0">
                  <a:solidFill>
                    <a:srgbClr val="0000FF"/>
                  </a:solidFill>
                  <a:latin typeface="Aptos Narrow"/>
                </a:rPr>
                <a:t>Run FichePrep</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absolute">
    <xdr:from>
      <xdr:col>30</xdr:col>
      <xdr:colOff>2254976</xdr:colOff>
      <xdr:row>1</xdr:row>
      <xdr:rowOff>81642</xdr:rowOff>
    </xdr:from>
    <xdr:to>
      <xdr:col>31</xdr:col>
      <xdr:colOff>1452972</xdr:colOff>
      <xdr:row>3</xdr:row>
      <xdr:rowOff>143555</xdr:rowOff>
    </xdr:to>
    <xdr:sp macro="[0]!S3_Binned_Crash.S3_Binned_Crash" textlink="">
      <xdr:nvSpPr>
        <xdr:cNvPr id="6" name="TextBox 5">
          <a:extLst>
            <a:ext uri="{FF2B5EF4-FFF2-40B4-BE49-F238E27FC236}">
              <a16:creationId xmlns:a16="http://schemas.microsoft.com/office/drawing/2014/main" id="{3E3D86C0-13E3-4375-BEAA-46F5A43B2EA6}"/>
            </a:ext>
          </a:extLst>
        </xdr:cNvPr>
        <xdr:cNvSpPr txBox="1"/>
      </xdr:nvSpPr>
      <xdr:spPr>
        <a:xfrm>
          <a:off x="28180393" y="272142"/>
          <a:ext cx="2238376" cy="442913"/>
        </a:xfrm>
        <a:prstGeom prst="rect">
          <a:avLst/>
        </a:prstGeom>
        <a:gradFill rotWithShape="1">
          <a:gsLst>
            <a:gs pos="0">
              <a:srgbClr val="A5A5A5">
                <a:lumMod val="110000"/>
                <a:satMod val="105000"/>
                <a:tint val="67000"/>
              </a:srgbClr>
            </a:gs>
            <a:gs pos="50000">
              <a:srgbClr val="A5A5A5">
                <a:lumMod val="105000"/>
                <a:satMod val="103000"/>
                <a:tint val="73000"/>
              </a:srgbClr>
            </a:gs>
            <a:gs pos="100000">
              <a:srgbClr val="A5A5A5">
                <a:lumMod val="105000"/>
                <a:satMod val="109000"/>
                <a:tint val="81000"/>
              </a:srgbClr>
            </a:gs>
          </a:gsLst>
          <a:lin ang="5400000" scaled="0"/>
        </a:gradFill>
        <a:ln w="6350" cap="flat" cmpd="sng" algn="ctr">
          <a:solidFill>
            <a:srgbClr val="A5A5A5"/>
          </a:solidFill>
          <a:prstDash val="solid"/>
          <a:miter lim="800000"/>
        </a:ln>
        <a:effectLst/>
        <a:scene3d>
          <a:camera prst="orthographicFront"/>
          <a:lightRig rig="threePt" dir="t"/>
        </a:scene3d>
        <a:sp3d>
          <a:bevelT/>
        </a:sp3d>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400" b="0" i="0" u="none" strike="noStrike" kern="0" cap="none" spc="0" normalizeH="0" baseline="0" noProof="0">
              <a:ln>
                <a:noFill/>
              </a:ln>
              <a:solidFill>
                <a:sysClr val="windowText" lastClr="000000"/>
              </a:solidFill>
              <a:effectLst/>
              <a:uLnTx/>
              <a:uFillTx/>
              <a:latin typeface="Calibri" panose="020F0502020204030204"/>
              <a:ea typeface="+mn-ea"/>
              <a:cs typeface="+mn-cs"/>
            </a:rPr>
            <a:t>Final Sort</a:t>
          </a: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125730</xdr:colOff>
          <xdr:row>16</xdr:row>
          <xdr:rowOff>68580</xdr:rowOff>
        </xdr:from>
        <xdr:to>
          <xdr:col>5</xdr:col>
          <xdr:colOff>1314450</xdr:colOff>
          <xdr:row>19</xdr:row>
          <xdr:rowOff>163830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D00-000001440000}"/>
                </a:ext>
              </a:extLst>
            </xdr:cNvPr>
            <xdr:cNvSpPr/>
          </xdr:nvSpPr>
          <xdr:spPr bwMode="auto">
            <a:xfrm>
              <a:off x="0" y="0"/>
              <a:ext cx="0" cy="0"/>
            </a:xfrm>
            <a:prstGeom prst="rect">
              <a:avLst/>
            </a:prstGeom>
            <a:noFill/>
            <a:ln w="9525">
              <a:miter lim="800000"/>
              <a:headEnd/>
              <a:tailEnd/>
            </a:ln>
          </xdr:spPr>
          <xdr:txBody>
            <a:bodyPr vertOverflow="clip" wrap="square" lIns="100584" tIns="77724" rIns="100584" bIns="77724" anchor="ctr" upright="1"/>
            <a:lstStyle/>
            <a:p>
              <a:pPr algn="ctr" rtl="0">
                <a:defRPr sz="1000"/>
              </a:pPr>
              <a:r>
                <a:rPr lang="en-US" sz="2000" b="0" i="0" u="none" strike="noStrike" baseline="0">
                  <a:solidFill>
                    <a:srgbClr val="000000"/>
                  </a:solidFill>
                  <a:latin typeface="Cambri"/>
                </a:rPr>
                <a:t>Equal Time Period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95250</xdr:colOff>
          <xdr:row>20</xdr:row>
          <xdr:rowOff>163830</xdr:rowOff>
        </xdr:from>
        <xdr:to>
          <xdr:col>5</xdr:col>
          <xdr:colOff>1287780</xdr:colOff>
          <xdr:row>24</xdr:row>
          <xdr:rowOff>152400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D00-000002440000}"/>
                </a:ext>
              </a:extLst>
            </xdr:cNvPr>
            <xdr:cNvSpPr/>
          </xdr:nvSpPr>
          <xdr:spPr bwMode="auto">
            <a:xfrm>
              <a:off x="0" y="0"/>
              <a:ext cx="0" cy="0"/>
            </a:xfrm>
            <a:prstGeom prst="rect">
              <a:avLst/>
            </a:prstGeom>
            <a:noFill/>
            <a:ln w="9525">
              <a:miter lim="800000"/>
              <a:headEnd/>
              <a:tailEnd/>
            </a:ln>
          </xdr:spPr>
          <xdr:txBody>
            <a:bodyPr vertOverflow="clip" wrap="square" lIns="100584" tIns="77724" rIns="100584" bIns="77724" anchor="ctr" upright="1"/>
            <a:lstStyle/>
            <a:p>
              <a:pPr algn="ctr" rtl="0">
                <a:defRPr sz="1000"/>
              </a:pPr>
              <a:r>
                <a:rPr lang="en-US" sz="2000" b="0" i="0" u="none" strike="noStrike" baseline="0">
                  <a:solidFill>
                    <a:srgbClr val="000000"/>
                  </a:solidFill>
                  <a:latin typeface="Cambri"/>
                </a:rPr>
                <a:t>Unequal Time Period </a:t>
              </a:r>
            </a:p>
          </xdr:txBody>
        </xdr:sp>
        <xdr:clientData fPrintsWithSheet="0"/>
      </xdr:twoCellAnchor>
    </mc:Choice>
    <mc:Fallback/>
  </mc:AlternateContent>
  <xdr:twoCellAnchor editAs="oneCell">
    <xdr:from>
      <xdr:col>2</xdr:col>
      <xdr:colOff>104775</xdr:colOff>
      <xdr:row>25</xdr:row>
      <xdr:rowOff>180975</xdr:rowOff>
    </xdr:from>
    <xdr:to>
      <xdr:col>2</xdr:col>
      <xdr:colOff>1542870</xdr:colOff>
      <xdr:row>28</xdr:row>
      <xdr:rowOff>123755</xdr:rowOff>
    </xdr:to>
    <xdr:pic>
      <xdr:nvPicPr>
        <xdr:cNvPr id="2" name="Picture 1">
          <a:extLst>
            <a:ext uri="{FF2B5EF4-FFF2-40B4-BE49-F238E27FC236}">
              <a16:creationId xmlns:a16="http://schemas.microsoft.com/office/drawing/2014/main" id="{6B3355DA-6560-4B9E-A2BD-8F9056578155}"/>
            </a:ext>
          </a:extLst>
        </xdr:cNvPr>
        <xdr:cNvPicPr>
          <a:picLocks noChangeAspect="1"/>
        </xdr:cNvPicPr>
      </xdr:nvPicPr>
      <xdr:blipFill>
        <a:blip xmlns:r="http://schemas.openxmlformats.org/officeDocument/2006/relationships" r:embed="rId1"/>
        <a:stretch>
          <a:fillRect/>
        </a:stretch>
      </xdr:blipFill>
      <xdr:spPr>
        <a:xfrm>
          <a:off x="1076325" y="5267325"/>
          <a:ext cx="1438095" cy="552381"/>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323849</xdr:colOff>
      <xdr:row>7</xdr:row>
      <xdr:rowOff>152400</xdr:rowOff>
    </xdr:from>
    <xdr:to>
      <xdr:col>2</xdr:col>
      <xdr:colOff>1714499</xdr:colOff>
      <xdr:row>36</xdr:row>
      <xdr:rowOff>95250</xdr:rowOff>
    </xdr:to>
    <xdr:sp macro="" textlink="">
      <xdr:nvSpPr>
        <xdr:cNvPr id="2" name="TextBox 1">
          <a:extLst>
            <a:ext uri="{FF2B5EF4-FFF2-40B4-BE49-F238E27FC236}">
              <a16:creationId xmlns:a16="http://schemas.microsoft.com/office/drawing/2014/main" id="{1C9BAA7A-D488-7E09-5778-4C72B3804569}"/>
            </a:ext>
          </a:extLst>
        </xdr:cNvPr>
        <xdr:cNvSpPr txBox="1"/>
      </xdr:nvSpPr>
      <xdr:spPr>
        <a:xfrm>
          <a:off x="323849" y="1657350"/>
          <a:ext cx="2962275" cy="5572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1. Copy the</a:t>
          </a:r>
          <a:r>
            <a:rPr lang="en-US" sz="1100" baseline="0"/>
            <a:t> entire row from the CRF sheet into row 3.</a:t>
          </a:r>
        </a:p>
        <a:p>
          <a:endParaRPr lang="en-US" sz="1100" baseline="0"/>
        </a:p>
        <a:p>
          <a:r>
            <a:rPr lang="en-US" sz="1100" baseline="0"/>
            <a:t>2. If the CRF Crash Pattern Affected is not in column  AG as an automatically calculated crash type, then add the before and after crash numbers into row 22.</a:t>
          </a:r>
        </a:p>
        <a:p>
          <a:endParaRPr lang="en-US" sz="1100"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t>3. </a:t>
          </a:r>
          <a:r>
            <a:rPr lang="en-US" sz="1100" baseline="0">
              <a:solidFill>
                <a:schemeClr val="dk1"/>
              </a:solidFill>
              <a:effectLst/>
              <a:latin typeface="+mn-lt"/>
              <a:ea typeface="+mn-ea"/>
              <a:cs typeface="+mn-cs"/>
            </a:rPr>
            <a:t>Only the cells that are orange need to be edited. Blue Cells come from elsewhere in the workbook. If you need to overwrite anything in blue, that is fine but it will no longer be linked to the rest of the workbook</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4. Once you are satisfied with what is here, then you can click generate email. If this workbook is saved in the same folder as the Completed Evaluation document then it will attach the file to the email. </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Note:</a:t>
          </a:r>
          <a:endParaRPr lang="en-US" sz="1100" b="1"/>
        </a:p>
        <a:p>
          <a:endParaRPr lang="en-US" sz="1100"/>
        </a:p>
        <a:p>
          <a:r>
            <a:rPr lang="en-US" sz="1100"/>
            <a:t>-</a:t>
          </a:r>
          <a:r>
            <a:rPr lang="en-US" sz="1100" baseline="0"/>
            <a:t> If this is a location with multiple locations or countermeasures or CRFs, you will need to edit the email manually. The email can only attach 1 Evaluation pdf.</a:t>
          </a:r>
        </a:p>
        <a:p>
          <a:r>
            <a:rPr lang="en-US" sz="1100" baseline="0"/>
            <a:t> </a:t>
          </a:r>
        </a:p>
        <a:p>
          <a:r>
            <a:rPr lang="en-US" sz="1100" baseline="0"/>
            <a:t>- The email distribution list comes directly from the Email Distribution workbook. If you need to reverify recipients or edit the recipients, you will need to do so directly in the Email Distribution List workbook.</a:t>
          </a:r>
        </a:p>
        <a:p>
          <a:endParaRPr lang="en-US" sz="1100" baseline="0"/>
        </a:p>
      </xdr:txBody>
    </xdr:sp>
    <xdr:clientData/>
  </xdr:twoCellAnchor>
  <xdr:twoCellAnchor>
    <xdr:from>
      <xdr:col>0</xdr:col>
      <xdr:colOff>400049</xdr:colOff>
      <xdr:row>4</xdr:row>
      <xdr:rowOff>80962</xdr:rowOff>
    </xdr:from>
    <xdr:to>
      <xdr:col>2</xdr:col>
      <xdr:colOff>1066799</xdr:colOff>
      <xdr:row>6</xdr:row>
      <xdr:rowOff>133350</xdr:rowOff>
    </xdr:to>
    <xdr:sp macro="[0]!S5_CreateEvalEmail.Step_5_CreateEvalEmail" textlink="">
      <xdr:nvSpPr>
        <xdr:cNvPr id="3" name="TextBox 2">
          <a:extLst>
            <a:ext uri="{FF2B5EF4-FFF2-40B4-BE49-F238E27FC236}">
              <a16:creationId xmlns:a16="http://schemas.microsoft.com/office/drawing/2014/main" id="{F8B4365E-E8B1-A17E-08F3-1DD399B1F6B4}"/>
            </a:ext>
          </a:extLst>
        </xdr:cNvPr>
        <xdr:cNvSpPr txBox="1"/>
      </xdr:nvSpPr>
      <xdr:spPr>
        <a:xfrm>
          <a:off x="400049" y="995362"/>
          <a:ext cx="2238375" cy="442913"/>
        </a:xfrm>
        <a:prstGeom prst="rect">
          <a:avLst/>
        </a:prstGeom>
        <a:ln/>
        <a:scene3d>
          <a:camera prst="orthographicFront"/>
          <a:lightRig rig="threePt" dir="t"/>
        </a:scene3d>
        <a:sp3d>
          <a:bevelT/>
        </a:sp3d>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t"/>
        <a:lstStyle/>
        <a:p>
          <a:pPr algn="ctr"/>
          <a:r>
            <a:rPr lang="en-US" sz="2400" b="0" cap="none" spc="0">
              <a:ln>
                <a:noFill/>
              </a:ln>
              <a:solidFill>
                <a:schemeClr val="tx1"/>
              </a:solidFill>
              <a:effectLst/>
            </a:rPr>
            <a:t>Generate</a:t>
          </a:r>
          <a:r>
            <a:rPr lang="en-US" sz="2400" b="0" cap="none" spc="0" baseline="0">
              <a:ln>
                <a:noFill/>
              </a:ln>
              <a:solidFill>
                <a:schemeClr val="tx1"/>
              </a:solidFill>
              <a:effectLst/>
            </a:rPr>
            <a:t> Email</a:t>
          </a:r>
          <a:endParaRPr lang="en-US" sz="2400" b="0" cap="none" spc="0">
            <a:ln>
              <a:noFill/>
            </a:ln>
            <a:solidFill>
              <a:schemeClr val="tx1"/>
            </a:solidFill>
            <a:effectLst/>
          </a:endParaRP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cbahret\Downloads\Accessible%20Intersection%20Evaluation%20Workbook%20-%2041000076148%20(VHB%20v2).xlsm" TargetMode="External"/><Relationship Id="rId1" Type="http://schemas.openxmlformats.org/officeDocument/2006/relationships/externalLinkPath" Target="file:///C:\Users\cbahret\Downloads\Accessible%20Intersection%20Evaluation%20Workbook%20-%2041000076148%20(VHB%20v2).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S:\TSU\SES\NC%20Project%20Development%20CRF%20Sheet\NCDOT%20CRF%20Sheet%20-%20unlocked%20-%2006062025.xlsx" TargetMode="External"/><Relationship Id="rId1" Type="http://schemas.openxmlformats.org/officeDocument/2006/relationships/externalLinkPath" Target="/TSU/SES/NC%20Project%20Development%20CRF%20Sheet/NCDOT%20CRF%20Sheet%20-%20unlocked%20-%2006062025.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tep-by-Step Instructions"/>
      <sheetName val="Status"/>
      <sheetName val="Read Me (VHB)"/>
      <sheetName val="Typical Target Crash Types"/>
      <sheetName val="Assumptions"/>
      <sheetName val="Evaluation Set-up"/>
      <sheetName val="Fiche Prep Tool"/>
      <sheetName val="Initial Crash ID list"/>
      <sheetName val="Parameters"/>
      <sheetName val="Original Fiche"/>
      <sheetName val="Filtered Fiche"/>
      <sheetName val="Binned Crashes"/>
      <sheetName val="Before"/>
      <sheetName val="After"/>
      <sheetName val="Trends"/>
      <sheetName val="Lists"/>
      <sheetName val="One Pager"/>
      <sheetName val="For NCDOT staff - for Tracking"/>
      <sheetName val="For NCDOT staff - Email"/>
      <sheetName val="Email List"/>
    </sheetNames>
    <sheetDataSet>
      <sheetData sheetId="0"/>
      <sheetData sheetId="1"/>
      <sheetData sheetId="2"/>
      <sheetData sheetId="3"/>
      <sheetData sheetId="4"/>
      <sheetData sheetId="5">
        <row r="9">
          <cell r="D9">
            <v>42675</v>
          </cell>
        </row>
      </sheetData>
      <sheetData sheetId="6"/>
      <sheetData sheetId="7"/>
      <sheetData sheetId="8"/>
      <sheetData sheetId="9"/>
      <sheetData sheetId="10"/>
      <sheetData sheetId="11">
        <row r="3">
          <cell r="J3" t="str">
            <v>IS</v>
          </cell>
        </row>
      </sheetData>
      <sheetData sheetId="12">
        <row r="4">
          <cell r="A4">
            <v>105540974</v>
          </cell>
        </row>
      </sheetData>
      <sheetData sheetId="13">
        <row r="4">
          <cell r="A4">
            <v>106864266</v>
          </cell>
        </row>
      </sheetData>
      <sheetData sheetId="14">
        <row r="4">
          <cell r="C4" t="str">
            <v>Before</v>
          </cell>
        </row>
      </sheetData>
      <sheetData sheetId="15">
        <row r="2">
          <cell r="A2" t="str">
            <v>Angle</v>
          </cell>
          <cell r="J2" t="str">
            <v>NBT</v>
          </cell>
          <cell r="L2" t="str">
            <v>V1</v>
          </cell>
          <cell r="P2" t="str">
            <v>Y</v>
          </cell>
          <cell r="R2" t="str">
            <v>Angle crashes (NB vehicle 1)</v>
          </cell>
        </row>
        <row r="3">
          <cell r="A3" t="str">
            <v>LTSR</v>
          </cell>
          <cell r="J3" t="str">
            <v>NBL</v>
          </cell>
          <cell r="L3" t="str">
            <v>V2</v>
          </cell>
          <cell r="R3" t="str">
            <v>Angle crashes (SB vehicle 1)</v>
          </cell>
        </row>
        <row r="4">
          <cell r="A4" t="str">
            <v>LTDR</v>
          </cell>
          <cell r="J4" t="str">
            <v>NBR</v>
          </cell>
          <cell r="L4" t="str">
            <v>Unclear</v>
          </cell>
          <cell r="R4" t="str">
            <v>Angle crashes (EB vehicle 1)</v>
          </cell>
        </row>
        <row r="5">
          <cell r="A5" t="str">
            <v>RTSR</v>
          </cell>
          <cell r="J5" t="str">
            <v>NBU</v>
          </cell>
          <cell r="R5" t="str">
            <v>Angle crashes (WB vehicle 1)</v>
          </cell>
        </row>
        <row r="6">
          <cell r="A6" t="str">
            <v>RTDR</v>
          </cell>
          <cell r="J6" t="str">
            <v>SBT</v>
          </cell>
          <cell r="R6" t="str">
            <v>Angle crashes (unclear direction vehicle 1)</v>
          </cell>
        </row>
        <row r="7">
          <cell r="A7" t="str">
            <v>HeadOn</v>
          </cell>
          <cell r="J7" t="str">
            <v>SBL</v>
          </cell>
          <cell r="R7" t="str">
            <v>Angle crashes (total)</v>
          </cell>
        </row>
        <row r="8">
          <cell r="A8" t="str">
            <v>U-Turn</v>
          </cell>
          <cell r="J8" t="str">
            <v>SBR</v>
          </cell>
          <cell r="R8" t="str">
            <v>LTSR crashes (NB turning vehicle)</v>
          </cell>
        </row>
        <row r="9">
          <cell r="A9" t="str">
            <v>RE</v>
          </cell>
          <cell r="J9" t="str">
            <v>SBU</v>
          </cell>
          <cell r="R9" t="str">
            <v>LTSR crashes (SB turning vehicle)</v>
          </cell>
        </row>
        <row r="10">
          <cell r="A10" t="str">
            <v>RORR</v>
          </cell>
          <cell r="J10" t="str">
            <v>EBT</v>
          </cell>
          <cell r="R10" t="str">
            <v>LTSR crashes (EB turning vehicle)</v>
          </cell>
        </row>
        <row r="11">
          <cell r="A11" t="str">
            <v>RORL</v>
          </cell>
          <cell r="J11" t="str">
            <v>EBL</v>
          </cell>
          <cell r="R11" t="str">
            <v>LTSR crashes (WB turning vehicle)</v>
          </cell>
        </row>
        <row r="12">
          <cell r="A12" t="str">
            <v>RORS</v>
          </cell>
          <cell r="J12" t="str">
            <v>EBR</v>
          </cell>
          <cell r="R12" t="str">
            <v>LTSR crashes (unclear direction turning vehicle)</v>
          </cell>
        </row>
        <row r="13">
          <cell r="A13" t="str">
            <v>SSSD</v>
          </cell>
          <cell r="J13" t="str">
            <v>EBU</v>
          </cell>
          <cell r="R13" t="str">
            <v>LTSR crashes (total)</v>
          </cell>
        </row>
        <row r="14">
          <cell r="A14" t="str">
            <v>SSDD</v>
          </cell>
          <cell r="J14" t="str">
            <v>WBT</v>
          </cell>
          <cell r="R14" t="str">
            <v>LTDR crashes (NB turning vehicle)</v>
          </cell>
        </row>
        <row r="15">
          <cell r="A15" t="str">
            <v>Overturn</v>
          </cell>
          <cell r="J15" t="str">
            <v>WBL</v>
          </cell>
          <cell r="R15" t="str">
            <v>LTDR crashes (SB turning vehicle)</v>
          </cell>
        </row>
        <row r="16">
          <cell r="A16" t="str">
            <v>Ped</v>
          </cell>
          <cell r="J16" t="str">
            <v>WBR</v>
          </cell>
          <cell r="R16" t="str">
            <v>LTDR crashes (EB turning vehicle)</v>
          </cell>
        </row>
        <row r="17">
          <cell r="A17" t="str">
            <v>Bike</v>
          </cell>
          <cell r="J17" t="str">
            <v>WBU</v>
          </cell>
          <cell r="R17" t="str">
            <v>LTDR crashes (WB turning vehicle)</v>
          </cell>
        </row>
        <row r="18">
          <cell r="A18" t="str">
            <v>Animal</v>
          </cell>
          <cell r="J18" t="str">
            <v>Unk</v>
          </cell>
          <cell r="R18" t="str">
            <v>LTDR crashes (unclear direction turning vehicle)</v>
          </cell>
        </row>
        <row r="19">
          <cell r="A19" t="str">
            <v>Other</v>
          </cell>
          <cell r="R19" t="str">
            <v>LTDR crashes (total)</v>
          </cell>
        </row>
        <row r="20">
          <cell r="R20" t="str">
            <v>RTSR crashes (NB turning vehicle)</v>
          </cell>
        </row>
        <row r="21">
          <cell r="R21" t="str">
            <v>RTSR crashes (SB turning vehicle)</v>
          </cell>
        </row>
        <row r="22">
          <cell r="R22" t="str">
            <v>RTSR crashes (EB turning vehicle)</v>
          </cell>
        </row>
        <row r="23">
          <cell r="R23" t="str">
            <v>RTSR crashes (WB turning vehicle)</v>
          </cell>
        </row>
        <row r="24">
          <cell r="R24" t="str">
            <v>RTSR crashes (unclear direction turning vehicle)</v>
          </cell>
        </row>
        <row r="25">
          <cell r="R25" t="str">
            <v>RTSR crashes (total)</v>
          </cell>
        </row>
        <row r="26">
          <cell r="R26" t="str">
            <v>RTDR crashes (NB turning vehicle)</v>
          </cell>
        </row>
        <row r="27">
          <cell r="R27" t="str">
            <v>RTDR crashes (SB turning vehicle)</v>
          </cell>
        </row>
        <row r="28">
          <cell r="R28" t="str">
            <v>RTDR crashes (EB turning vehicle)</v>
          </cell>
        </row>
        <row r="29">
          <cell r="R29" t="str">
            <v>RTDR crashes (WB turning vehicle)</v>
          </cell>
        </row>
        <row r="30">
          <cell r="R30" t="str">
            <v>RTDR crashes (unclear direction turning vehicle)</v>
          </cell>
        </row>
        <row r="31">
          <cell r="R31" t="str">
            <v>RTDR crashes (total)</v>
          </cell>
        </row>
        <row r="32">
          <cell r="R32" t="str">
            <v>HeadOn crashes (NB vehicle 1)</v>
          </cell>
        </row>
        <row r="33">
          <cell r="R33" t="str">
            <v>HeadOn crashes (SB vehicle 1)</v>
          </cell>
        </row>
        <row r="34">
          <cell r="R34" t="str">
            <v>HeadOn crashes (EB vehicle 1)</v>
          </cell>
        </row>
        <row r="35">
          <cell r="R35" t="str">
            <v>HeadOn crashes (WB vehicle 1)</v>
          </cell>
        </row>
        <row r="36">
          <cell r="R36" t="str">
            <v>HeadOn crashes (unclear direction vehicle 1)</v>
          </cell>
        </row>
        <row r="37">
          <cell r="R37" t="str">
            <v>Head on crashes (total)</v>
          </cell>
        </row>
        <row r="38">
          <cell r="R38" t="str">
            <v>U-Turn crashes (NB turning vehicle)</v>
          </cell>
        </row>
        <row r="39">
          <cell r="R39" t="str">
            <v>U-Turn crashes (SB turning vehicle)</v>
          </cell>
        </row>
        <row r="40">
          <cell r="R40" t="str">
            <v>U-Turn crashes (EB turning vehicle)</v>
          </cell>
        </row>
        <row r="41">
          <cell r="R41" t="str">
            <v>U-Turn crashes (WB turning vehicle)</v>
          </cell>
        </row>
        <row r="42">
          <cell r="R42" t="str">
            <v>U-Turn crashes (unclear direction turning vehicle)</v>
          </cell>
        </row>
        <row r="43">
          <cell r="R43" t="str">
            <v>U-Turn crashes (total)</v>
          </cell>
        </row>
        <row r="44">
          <cell r="R44" t="str">
            <v>Ran off road right crashes (NB)</v>
          </cell>
        </row>
        <row r="45">
          <cell r="R45" t="str">
            <v>Ran off road right crashes (SB)</v>
          </cell>
        </row>
        <row r="46">
          <cell r="R46" t="str">
            <v>Ran off road right crashes (EB)</v>
          </cell>
        </row>
        <row r="47">
          <cell r="R47" t="str">
            <v>Ran off road right crashes (WB)</v>
          </cell>
        </row>
        <row r="48">
          <cell r="R48" t="str">
            <v>Ran off road right crashes (unclear direction)</v>
          </cell>
        </row>
        <row r="49">
          <cell r="R49" t="str">
            <v>Ran off road right crashes (total)</v>
          </cell>
        </row>
        <row r="50">
          <cell r="R50" t="str">
            <v>Ran off road left crashes (NB)</v>
          </cell>
        </row>
        <row r="51">
          <cell r="R51" t="str">
            <v>Ran off road left crashes (SB)</v>
          </cell>
        </row>
        <row r="52">
          <cell r="R52" t="str">
            <v>Ran off road left crashes (EB)</v>
          </cell>
        </row>
        <row r="53">
          <cell r="R53" t="str">
            <v>Ran off road left crashes (WB)</v>
          </cell>
        </row>
        <row r="54">
          <cell r="R54" t="str">
            <v>Ran off road left crashes (unclear direction)</v>
          </cell>
        </row>
        <row r="55">
          <cell r="R55" t="str">
            <v>Ran off road left crashes (total)</v>
          </cell>
        </row>
        <row r="56">
          <cell r="R56" t="str">
            <v>Ran off road straight crashes (NB)</v>
          </cell>
        </row>
        <row r="57">
          <cell r="R57" t="str">
            <v>Ran off road straight crashes (SB)</v>
          </cell>
        </row>
        <row r="58">
          <cell r="R58" t="str">
            <v>Ran off road straight crashes (EB)</v>
          </cell>
        </row>
        <row r="59">
          <cell r="R59" t="str">
            <v>Ran off road straight crashes (WB)</v>
          </cell>
        </row>
        <row r="60">
          <cell r="R60" t="str">
            <v>Ran off road straight crashes (unclear direction)</v>
          </cell>
        </row>
        <row r="61">
          <cell r="R61" t="str">
            <v>Ran off road straight crashes (total)</v>
          </cell>
        </row>
        <row r="62">
          <cell r="R62" t="str">
            <v>Sideswipe same direction crashes (NB striking vehicle)</v>
          </cell>
        </row>
        <row r="63">
          <cell r="R63" t="str">
            <v>Sideswipe same direction crashes (SB striking vehicle)</v>
          </cell>
        </row>
        <row r="64">
          <cell r="R64" t="str">
            <v>Sideswipe same direction crashes (EB striking vehicle)</v>
          </cell>
        </row>
        <row r="65">
          <cell r="R65" t="str">
            <v>Sideswipe same direction crashes (WB striking vehicle)</v>
          </cell>
        </row>
        <row r="66">
          <cell r="R66" t="str">
            <v>Sideswipe same direction crashes (unclear direction striking vehicle)</v>
          </cell>
        </row>
        <row r="67">
          <cell r="R67" t="str">
            <v>Sideswipe same direction crashes (total)</v>
          </cell>
        </row>
        <row r="68">
          <cell r="R68" t="str">
            <v>Sideswipe opposite direction crashes (NB striking vehicle)</v>
          </cell>
        </row>
        <row r="69">
          <cell r="R69" t="str">
            <v>Sideswipe opposite direction crashes (SB striking vehicle)</v>
          </cell>
        </row>
        <row r="70">
          <cell r="R70" t="str">
            <v>Sideswipe opposite direction crashes (EB striking vehicle)</v>
          </cell>
        </row>
        <row r="71">
          <cell r="R71" t="str">
            <v>Sideswipe opposite direction crashes (WB striking vehicle)</v>
          </cell>
        </row>
        <row r="72">
          <cell r="R72" t="str">
            <v>Sideswipe opposite direction crashes (unclear direction striking vehicle)</v>
          </cell>
        </row>
        <row r="73">
          <cell r="R73" t="str">
            <v>Sideswipe opposite direction crashes (total)</v>
          </cell>
        </row>
        <row r="74">
          <cell r="R74" t="str">
            <v>Overturn crashes (NB)</v>
          </cell>
        </row>
        <row r="75">
          <cell r="R75" t="str">
            <v>Overturn crashes (SB)</v>
          </cell>
        </row>
        <row r="76">
          <cell r="R76" t="str">
            <v>Overturn crashes (EB)</v>
          </cell>
        </row>
        <row r="77">
          <cell r="R77" t="str">
            <v>Overturn crashes (WB)</v>
          </cell>
        </row>
        <row r="78">
          <cell r="R78" t="str">
            <v>Overturn crashes (unclear direction)</v>
          </cell>
        </row>
        <row r="79">
          <cell r="R79" t="str">
            <v>Overturn crashes (total)</v>
          </cell>
        </row>
        <row r="80">
          <cell r="R80" t="str">
            <v>Rear end crashes (NB rear vehicle)</v>
          </cell>
        </row>
        <row r="81">
          <cell r="R81" t="str">
            <v>Rear end crashes (SB rear vehicle)</v>
          </cell>
        </row>
        <row r="82">
          <cell r="R82" t="str">
            <v>Rear end crashes (EB rear vehicle)</v>
          </cell>
        </row>
        <row r="83">
          <cell r="R83" t="str">
            <v>Rear end crashes (WB rear vehicle)</v>
          </cell>
        </row>
        <row r="84">
          <cell r="R84" t="str">
            <v>Rear end crashes (unclear direction rear vehicle)</v>
          </cell>
        </row>
        <row r="85">
          <cell r="R85" t="str">
            <v>Rear end crashes (total)</v>
          </cell>
        </row>
        <row r="86">
          <cell r="R86" t="str">
            <v>Pedestrian crashes</v>
          </cell>
        </row>
        <row r="87">
          <cell r="R87" t="str">
            <v>Bicycle crashes</v>
          </cell>
        </row>
        <row r="88">
          <cell r="R88" t="str">
            <v>Animal crashes</v>
          </cell>
        </row>
        <row r="89">
          <cell r="R89" t="str">
            <v>Other crashes</v>
          </cell>
        </row>
        <row r="90">
          <cell r="R90" t="str">
            <v>Frontal impact crashes (NB at fault)</v>
          </cell>
        </row>
        <row r="91">
          <cell r="R91" t="str">
            <v>Frontal impact crashes (SB at fault)</v>
          </cell>
        </row>
        <row r="92">
          <cell r="R92" t="str">
            <v>Frontal impact crashes (EB at fault)</v>
          </cell>
        </row>
        <row r="93">
          <cell r="R93" t="str">
            <v>Frontal impact crashes (WB at fault)</v>
          </cell>
        </row>
        <row r="94">
          <cell r="R94" t="str">
            <v>Frontal impact crashes (fault unclear)</v>
          </cell>
        </row>
        <row r="95">
          <cell r="R95" t="str">
            <v>Frontal impact crashes (total)</v>
          </cell>
        </row>
        <row r="96">
          <cell r="R96" t="str">
            <v>Frontal impact crashes involving the NB approach</v>
          </cell>
        </row>
        <row r="97">
          <cell r="R97" t="str">
            <v>Frontal impact crashes involving the SB approach</v>
          </cell>
        </row>
        <row r="98">
          <cell r="R98" t="str">
            <v>Frontal impact crashes involving the EB approach</v>
          </cell>
        </row>
        <row r="99">
          <cell r="R99" t="str">
            <v>Frontal impact crashes involving the WB approach</v>
          </cell>
        </row>
        <row r="100">
          <cell r="R100" t="str">
            <v>Lane departure crashes (NB at fault)</v>
          </cell>
        </row>
        <row r="101">
          <cell r="R101" t="str">
            <v>Lane departure crashes (SB at fault)</v>
          </cell>
        </row>
        <row r="102">
          <cell r="R102" t="str">
            <v>Lane departure crashes (EB at fault)</v>
          </cell>
        </row>
        <row r="103">
          <cell r="R103" t="str">
            <v>Lane departure crashes (WB at fault)</v>
          </cell>
        </row>
        <row r="104">
          <cell r="R104" t="str">
            <v>Lane departure crashes (fault unclear)</v>
          </cell>
        </row>
        <row r="105">
          <cell r="R105" t="str">
            <v>Lane departure crashes (total)</v>
          </cell>
        </row>
        <row r="106">
          <cell r="R106" t="str">
            <v>Target 1 crashes (NB at fault)</v>
          </cell>
        </row>
        <row r="107">
          <cell r="R107" t="str">
            <v>Target 1 crashes (SB at fault)</v>
          </cell>
        </row>
        <row r="108">
          <cell r="R108" t="str">
            <v>Target 1 crashes (EB at fault)</v>
          </cell>
        </row>
        <row r="109">
          <cell r="R109" t="str">
            <v>Target 1 crashes (WB at fault)</v>
          </cell>
        </row>
        <row r="110">
          <cell r="R110" t="str">
            <v>Target 1 crashes (fault unclear)</v>
          </cell>
        </row>
        <row r="111">
          <cell r="R111" t="str">
            <v>Target 1 crashes (total)</v>
          </cell>
        </row>
        <row r="112">
          <cell r="R112" t="str">
            <v>Target 2 crashes (NB at fault)</v>
          </cell>
        </row>
        <row r="113">
          <cell r="R113" t="str">
            <v>Target 2 crashes (SB at fault)</v>
          </cell>
        </row>
        <row r="114">
          <cell r="R114" t="str">
            <v>Target 2 crashes (EB at fault)</v>
          </cell>
        </row>
        <row r="115">
          <cell r="R115" t="str">
            <v>Target 2 crashes (WB at fault)</v>
          </cell>
        </row>
        <row r="116">
          <cell r="R116" t="str">
            <v>Target 2 crashes (fault unclear)</v>
          </cell>
        </row>
        <row r="117">
          <cell r="R117" t="str">
            <v>Target 2 crashes (total)</v>
          </cell>
        </row>
        <row r="118">
          <cell r="R118" t="str">
            <v>Target 3 crashes (NB at fault)</v>
          </cell>
        </row>
        <row r="119">
          <cell r="R119" t="str">
            <v>Target 3 crashes (SB at fault)</v>
          </cell>
        </row>
        <row r="120">
          <cell r="R120" t="str">
            <v>Target 3 crashes (EB at fault)</v>
          </cell>
        </row>
        <row r="121">
          <cell r="R121" t="str">
            <v>Target 3 crashes (WB at fault)</v>
          </cell>
        </row>
        <row r="122">
          <cell r="R122" t="str">
            <v>Target 3 crashes (fault unclear)</v>
          </cell>
        </row>
        <row r="123">
          <cell r="R123" t="str">
            <v>Target 3 crashes (total)</v>
          </cell>
        </row>
        <row r="124">
          <cell r="R124" t="str">
            <v>All target crashes (NB at fault)</v>
          </cell>
        </row>
        <row r="125">
          <cell r="R125" t="str">
            <v>All target crashes (SB at fault)</v>
          </cell>
        </row>
        <row r="126">
          <cell r="R126" t="str">
            <v>All target crashes (EB at fault)</v>
          </cell>
        </row>
        <row r="127">
          <cell r="R127" t="str">
            <v>All target crashes (WB at fault)</v>
          </cell>
        </row>
        <row r="128">
          <cell r="R128" t="str">
            <v>All target crashes (fault unclear)</v>
          </cell>
        </row>
        <row r="129">
          <cell r="R129" t="str">
            <v>All target crashes (total)</v>
          </cell>
        </row>
        <row r="130">
          <cell r="R130" t="str">
            <v>Wet crashes</v>
          </cell>
        </row>
        <row r="131">
          <cell r="R131" t="str">
            <v>Night crashes</v>
          </cell>
        </row>
        <row r="132">
          <cell r="R132" t="str">
            <v>Injury crashes</v>
          </cell>
        </row>
        <row r="133">
          <cell r="R133" t="str">
            <v>Avoidance maneuver crashes</v>
          </cell>
        </row>
        <row r="134">
          <cell r="R134" t="str">
            <v>Crashes with fault unclear</v>
          </cell>
        </row>
      </sheetData>
      <sheetData sheetId="16"/>
      <sheetData sheetId="17"/>
      <sheetData sheetId="18"/>
      <sheetData sheetId="1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NOTES"/>
      <sheetName val="DIRECTORY"/>
      <sheetName val="1 - Traffic Signals"/>
      <sheetName val="2 - Reduce Conflicts"/>
      <sheetName val="3 - Turn Lanes &amp; Ramps"/>
      <sheetName val="4 - Roadway Improvements"/>
      <sheetName val="5 - Roadside Improvements"/>
      <sheetName val="6 - Alignment &amp; Sight Distance"/>
      <sheetName val="7 - Sign-Delineate-Illuminate"/>
      <sheetName val="8 - Pedestrian &amp; Bicycle"/>
      <sheetName val="9 - Railroad Crossing"/>
      <sheetName val="10 - Work Zones"/>
      <sheetName val="CRASH COSTS"/>
      <sheetName val="HISTORICAL VALU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row r="5">
          <cell r="B5" t="str">
            <v>TOTAL</v>
          </cell>
          <cell r="C5">
            <v>4129000</v>
          </cell>
          <cell r="D5">
            <v>187000</v>
          </cell>
          <cell r="E5">
            <v>15100</v>
          </cell>
        </row>
        <row r="6">
          <cell r="C6"/>
          <cell r="D6"/>
          <cell r="E6"/>
        </row>
        <row r="7">
          <cell r="B7" t="str">
            <v>FRONTAL IMPACT</v>
          </cell>
          <cell r="C7">
            <v>4216000</v>
          </cell>
          <cell r="D7">
            <v>213000</v>
          </cell>
          <cell r="E7">
            <v>15100</v>
          </cell>
        </row>
        <row r="8">
          <cell r="C8"/>
          <cell r="D8"/>
          <cell r="E8"/>
        </row>
        <row r="9">
          <cell r="B9" t="str">
            <v>LANE DEPARTURE</v>
          </cell>
          <cell r="C9">
            <v>4126000</v>
          </cell>
          <cell r="D9">
            <v>165000</v>
          </cell>
          <cell r="E9">
            <v>15100</v>
          </cell>
        </row>
        <row r="10">
          <cell r="C10"/>
          <cell r="D10"/>
          <cell r="E10"/>
        </row>
        <row r="11">
          <cell r="B11" t="str">
            <v>REAR END</v>
          </cell>
          <cell r="C11">
            <v>4018000</v>
          </cell>
          <cell r="D11">
            <v>186000</v>
          </cell>
          <cell r="E11">
            <v>15100</v>
          </cell>
        </row>
        <row r="12">
          <cell r="C12"/>
          <cell r="D12"/>
          <cell r="E12"/>
        </row>
        <row r="13">
          <cell r="B13" t="str">
            <v>PEDESTRIAN</v>
          </cell>
          <cell r="C13">
            <v>5595000</v>
          </cell>
          <cell r="D13">
            <v>148000</v>
          </cell>
          <cell r="E13">
            <v>15100</v>
          </cell>
        </row>
        <row r="14">
          <cell r="C14"/>
          <cell r="D14"/>
          <cell r="E14"/>
        </row>
        <row r="15">
          <cell r="B15" t="str">
            <v>BICYCLE</v>
          </cell>
          <cell r="C15">
            <v>4061000</v>
          </cell>
          <cell r="D15">
            <v>143000</v>
          </cell>
          <cell r="E15">
            <v>15100</v>
          </cell>
        </row>
        <row r="16">
          <cell r="C16"/>
          <cell r="D16"/>
          <cell r="E16"/>
        </row>
        <row r="17">
          <cell r="B17" t="str">
            <v>TRAIN</v>
          </cell>
          <cell r="C17">
            <v>8281000</v>
          </cell>
          <cell r="D17">
            <v>134000</v>
          </cell>
          <cell r="E17">
            <v>60000</v>
          </cell>
        </row>
        <row r="18">
          <cell r="C18"/>
          <cell r="D18"/>
          <cell r="E18"/>
        </row>
        <row r="19">
          <cell r="B19" t="str">
            <v>TRUCK</v>
          </cell>
          <cell r="C19">
            <v>5324000</v>
          </cell>
          <cell r="D19">
            <v>180000</v>
          </cell>
          <cell r="E19">
            <v>15100</v>
          </cell>
        </row>
      </sheetData>
      <sheetData sheetId="13" refreshError="1"/>
    </sheetDataSet>
  </externalBook>
</externalLink>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E75778E9-BAEC-4223-8E72-C7B1540A4603}" autoFormatId="16" applyNumberFormats="0" applyBorderFormats="0" applyFontFormats="0" applyPatternFormats="0" applyAlignmentFormats="0" applyWidthHeightFormats="0">
  <queryTableRefresh nextId="21">
    <queryTableFields count="20">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 id="14" name="Column14" tableColumnId="14"/>
      <queryTableField id="15" name="Column15" tableColumnId="15"/>
      <queryTableField id="16" name="Column16" tableColumnId="16"/>
      <queryTableField id="17" name="Column17" tableColumnId="17"/>
      <queryTableField id="18" name="Column18" tableColumnId="18"/>
      <queryTableField id="19" name="Column19" tableColumnId="19"/>
      <queryTableField id="20" name="Column20" tableColumnId="20"/>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fb t="e">#N/A</fb>
    <v>6</v>
    <v>7</v>
  </rv>
  <rv s="0">
    <fb t="e">#NAME?</fb>
    <v>4</v>
    <v>1</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750DE5B-C154-42CB-88DF-32F9CF581E8C}" name="Email_List" displayName="Email_List" ref="A1:T32" tableType="queryTable" totalsRowShown="0">
  <autoFilter ref="A1:T32" xr:uid="{E750DE5B-C154-42CB-88DF-32F9CF581E8C}"/>
  <tableColumns count="20">
    <tableColumn id="1" xr3:uid="{868B6ED7-1648-46A1-8D67-630806570648}" uniqueName="1" name="Column1" queryTableFieldId="1"/>
    <tableColumn id="2" xr3:uid="{32E4DED5-3746-461C-9374-C812448440E1}" uniqueName="2" name="Column2" queryTableFieldId="2"/>
    <tableColumn id="3" xr3:uid="{22188BA0-DD7A-4816-8162-0F57BDE633F2}" uniqueName="3" name="Column3" queryTableFieldId="3" dataDxfId="17"/>
    <tableColumn id="4" xr3:uid="{09F98296-7798-43A9-896E-04974E766AB0}" uniqueName="4" name="Column4" queryTableFieldId="4" dataDxfId="16"/>
    <tableColumn id="5" xr3:uid="{7404F65E-908C-4E97-8A12-167073D0C86C}" uniqueName="5" name="Column5" queryTableFieldId="5" dataDxfId="15"/>
    <tableColumn id="6" xr3:uid="{E8F135F1-991A-4811-87AD-D84806E5CC4D}" uniqueName="6" name="Column6" queryTableFieldId="6" dataDxfId="14"/>
    <tableColumn id="7" xr3:uid="{1B55EDB6-4BCD-47DA-BE7D-D9653772A615}" uniqueName="7" name="Column7" queryTableFieldId="7" dataDxfId="13"/>
    <tableColumn id="8" xr3:uid="{7ABA678C-AE41-4E2D-B477-7B4356F11CB8}" uniqueName="8" name="Column8" queryTableFieldId="8" dataDxfId="12"/>
    <tableColumn id="9" xr3:uid="{643D99A0-0B65-4AC0-AF81-E2DA4B225B21}" uniqueName="9" name="Column9" queryTableFieldId="9" dataDxfId="11"/>
    <tableColumn id="10" xr3:uid="{9DA9C349-FC44-4600-B7F6-45D6D024F33A}" uniqueName="10" name="Column10" queryTableFieldId="10" dataDxfId="10"/>
    <tableColumn id="11" xr3:uid="{A2B6EDF3-CECD-45AD-8586-09DDB24832EB}" uniqueName="11" name="Column11" queryTableFieldId="11" dataDxfId="9"/>
    <tableColumn id="12" xr3:uid="{3E005D86-B4D8-42B9-93D2-3C80DC04DCCE}" uniqueName="12" name="Column12" queryTableFieldId="12" dataDxfId="8"/>
    <tableColumn id="13" xr3:uid="{016FE69D-1C56-45D4-9E52-065A02E99004}" uniqueName="13" name="Column13" queryTableFieldId="13" dataDxfId="7"/>
    <tableColumn id="14" xr3:uid="{C34357CF-7B33-4146-BC79-692656D5A261}" uniqueName="14" name="Column14" queryTableFieldId="14" dataDxfId="6"/>
    <tableColumn id="15" xr3:uid="{C88019FB-EE31-4C10-A8D4-4687278EC36E}" uniqueName="15" name="Column15" queryTableFieldId="15" dataDxfId="5"/>
    <tableColumn id="16" xr3:uid="{2765D085-A51B-4A58-AB1C-DAAD376A310A}" uniqueName="16" name="Column16" queryTableFieldId="16" dataDxfId="4"/>
    <tableColumn id="17" xr3:uid="{3FB365D3-6DBE-4359-AEFC-281495DF078B}" uniqueName="17" name="Column17" queryTableFieldId="17" dataDxfId="3"/>
    <tableColumn id="18" xr3:uid="{FE013A89-E8AF-4575-82F2-F6B1BB038DDC}" uniqueName="18" name="Column18" queryTableFieldId="18" dataDxfId="2"/>
    <tableColumn id="19" xr3:uid="{FFA895D5-680A-4E33-8146-EB667FBECFB6}" uniqueName="19" name="Column19" queryTableFieldId="19" dataDxfId="1"/>
    <tableColumn id="20" xr3:uid="{630375A4-F031-4719-88E6-C86A4BD1306C}" uniqueName="20" name="Column20" queryTableFieldId="20" dataDxfId="0"/>
  </tableColumns>
  <tableStyleInfo name="TableStyleMedium7"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8" Type="http://schemas.openxmlformats.org/officeDocument/2006/relationships/hyperlink" Target="http://maps.google.com/?q=35.176964,-79.43492" TargetMode="External"/><Relationship Id="rId13" Type="http://schemas.openxmlformats.org/officeDocument/2006/relationships/hyperlink" Target="http://maps.google.com/?q=35.1771,-79.43303" TargetMode="External"/><Relationship Id="rId18" Type="http://schemas.openxmlformats.org/officeDocument/2006/relationships/hyperlink" Target="http://maps.google.com/?q=35.17837,-79.43149" TargetMode="External"/><Relationship Id="rId26" Type="http://schemas.openxmlformats.org/officeDocument/2006/relationships/hyperlink" Target="http://maps.google.com/?q=35.17742,-79.43175" TargetMode="External"/><Relationship Id="rId39" Type="http://schemas.openxmlformats.org/officeDocument/2006/relationships/hyperlink" Target="http://maps.google.com/?q=35.176638,-79.440676" TargetMode="External"/><Relationship Id="rId3" Type="http://schemas.openxmlformats.org/officeDocument/2006/relationships/hyperlink" Target="http://maps.google.com/?q=35.18114,-79.45304" TargetMode="External"/><Relationship Id="rId21" Type="http://schemas.openxmlformats.org/officeDocument/2006/relationships/hyperlink" Target="http://maps.google.com/?q=35.17758,-79.43134" TargetMode="External"/><Relationship Id="rId34" Type="http://schemas.openxmlformats.org/officeDocument/2006/relationships/hyperlink" Target="http://maps.google.com/?q=35.17738,-79.4314" TargetMode="External"/><Relationship Id="rId42" Type="http://schemas.openxmlformats.org/officeDocument/2006/relationships/hyperlink" Target="http://maps.google.com/?q=35.177004,-79.43783" TargetMode="External"/><Relationship Id="rId47" Type="http://schemas.openxmlformats.org/officeDocument/2006/relationships/drawing" Target="../drawings/drawing5.xml"/><Relationship Id="rId7" Type="http://schemas.openxmlformats.org/officeDocument/2006/relationships/hyperlink" Target="http://maps.google.com/?q=35.176903,-79.43499" TargetMode="External"/><Relationship Id="rId12" Type="http://schemas.openxmlformats.org/officeDocument/2006/relationships/hyperlink" Target="http://maps.google.com/?q=35.1767,-79.44001" TargetMode="External"/><Relationship Id="rId17" Type="http://schemas.openxmlformats.org/officeDocument/2006/relationships/hyperlink" Target="http://maps.google.com/?q=35.17751,-79.42808" TargetMode="External"/><Relationship Id="rId25" Type="http://schemas.openxmlformats.org/officeDocument/2006/relationships/hyperlink" Target="http://maps.google.com/?q=35.17708,-79.43161" TargetMode="External"/><Relationship Id="rId33" Type="http://schemas.openxmlformats.org/officeDocument/2006/relationships/hyperlink" Target="http://maps.google.com/?q=35.17014,-79.40596" TargetMode="External"/><Relationship Id="rId38" Type="http://schemas.openxmlformats.org/officeDocument/2006/relationships/hyperlink" Target="http://maps.google.com/?q=35.1813,-79.4361" TargetMode="External"/><Relationship Id="rId46" Type="http://schemas.openxmlformats.org/officeDocument/2006/relationships/printerSettings" Target="../printerSettings/printerSettings5.bin"/><Relationship Id="rId2" Type="http://schemas.openxmlformats.org/officeDocument/2006/relationships/hyperlink" Target="http://maps.google.com/?q=35.17374,-79.413404" TargetMode="External"/><Relationship Id="rId16" Type="http://schemas.openxmlformats.org/officeDocument/2006/relationships/hyperlink" Target="http://maps.google.com/?q=35.177266,-79.43255" TargetMode="External"/><Relationship Id="rId20" Type="http://schemas.openxmlformats.org/officeDocument/2006/relationships/hyperlink" Target="http://maps.google.com/?q=35.17777,-79.43165" TargetMode="External"/><Relationship Id="rId29" Type="http://schemas.openxmlformats.org/officeDocument/2006/relationships/hyperlink" Target="http://maps.google.com/?q=35.171215,-79.40848" TargetMode="External"/><Relationship Id="rId41" Type="http://schemas.openxmlformats.org/officeDocument/2006/relationships/hyperlink" Target="http://maps.google.com/?q=35.1695,-79.404361" TargetMode="External"/><Relationship Id="rId1" Type="http://schemas.openxmlformats.org/officeDocument/2006/relationships/hyperlink" Target="http://maps.google.com/?q=35.178255,-79.428002" TargetMode="External"/><Relationship Id="rId6" Type="http://schemas.openxmlformats.org/officeDocument/2006/relationships/hyperlink" Target="http://maps.google.com/?q=35.17773,-79.43463" TargetMode="External"/><Relationship Id="rId11" Type="http://schemas.openxmlformats.org/officeDocument/2006/relationships/hyperlink" Target="http://maps.google.com/?q=35.17689,-79.43502" TargetMode="External"/><Relationship Id="rId24" Type="http://schemas.openxmlformats.org/officeDocument/2006/relationships/hyperlink" Target="http://maps.google.com/?q=35.17805,-79.42992" TargetMode="External"/><Relationship Id="rId32" Type="http://schemas.openxmlformats.org/officeDocument/2006/relationships/hyperlink" Target="http://maps.google.com/?q=35.17668,-79.43083" TargetMode="External"/><Relationship Id="rId37" Type="http://schemas.openxmlformats.org/officeDocument/2006/relationships/hyperlink" Target="http://maps.google.com/?q=35.17732,-79.43191" TargetMode="External"/><Relationship Id="rId40" Type="http://schemas.openxmlformats.org/officeDocument/2006/relationships/hyperlink" Target="http://maps.google.com/?q=35.197247,-79.426888" TargetMode="External"/><Relationship Id="rId45" Type="http://schemas.openxmlformats.org/officeDocument/2006/relationships/hyperlink" Target="http://maps.google.com/?q=35.177001,-79.43497" TargetMode="External"/><Relationship Id="rId5" Type="http://schemas.openxmlformats.org/officeDocument/2006/relationships/hyperlink" Target="http://maps.google.com/?q=35.17695,-79.43597" TargetMode="External"/><Relationship Id="rId15" Type="http://schemas.openxmlformats.org/officeDocument/2006/relationships/hyperlink" Target="http://maps.google.com/?q=35.1772,-79.4318" TargetMode="External"/><Relationship Id="rId23" Type="http://schemas.openxmlformats.org/officeDocument/2006/relationships/hyperlink" Target="http://maps.google.com/?q=35.17764,-79.43078" TargetMode="External"/><Relationship Id="rId28" Type="http://schemas.openxmlformats.org/officeDocument/2006/relationships/hyperlink" Target="http://maps.google.com/?q=35.171573,-79.409191" TargetMode="External"/><Relationship Id="rId36" Type="http://schemas.openxmlformats.org/officeDocument/2006/relationships/hyperlink" Target="http://maps.google.com/?q=35.177645,-79.431486" TargetMode="External"/><Relationship Id="rId10" Type="http://schemas.openxmlformats.org/officeDocument/2006/relationships/hyperlink" Target="http://maps.google.com/?q=35.17705,-79.43551" TargetMode="External"/><Relationship Id="rId19" Type="http://schemas.openxmlformats.org/officeDocument/2006/relationships/hyperlink" Target="http://maps.google.com/?q=35.176965,-79.43411" TargetMode="External"/><Relationship Id="rId31" Type="http://schemas.openxmlformats.org/officeDocument/2006/relationships/hyperlink" Target="http://maps.google.com/?q=35.17575,-79.4293" TargetMode="External"/><Relationship Id="rId44" Type="http://schemas.openxmlformats.org/officeDocument/2006/relationships/hyperlink" Target="http://maps.google.com/?q=35.177001,-79.43497" TargetMode="External"/><Relationship Id="rId4" Type="http://schemas.openxmlformats.org/officeDocument/2006/relationships/hyperlink" Target="http://maps.google.com/?q=35.18058,-79.45108" TargetMode="External"/><Relationship Id="rId9" Type="http://schemas.openxmlformats.org/officeDocument/2006/relationships/hyperlink" Target="http://maps.google.com/?q=35.17699,-79.43497" TargetMode="External"/><Relationship Id="rId14" Type="http://schemas.openxmlformats.org/officeDocument/2006/relationships/hyperlink" Target="http://maps.google.com/?q=35.17731,-79.43169" TargetMode="External"/><Relationship Id="rId22" Type="http://schemas.openxmlformats.org/officeDocument/2006/relationships/hyperlink" Target="http://maps.google.com/?q=35.177053,-79.43338" TargetMode="External"/><Relationship Id="rId27" Type="http://schemas.openxmlformats.org/officeDocument/2006/relationships/hyperlink" Target="http://maps.google.com/?q=35.175645,-79.420618" TargetMode="External"/><Relationship Id="rId30" Type="http://schemas.openxmlformats.org/officeDocument/2006/relationships/hyperlink" Target="http://maps.google.com/?q=35.169079,-79.403542" TargetMode="External"/><Relationship Id="rId35" Type="http://schemas.openxmlformats.org/officeDocument/2006/relationships/hyperlink" Target="http://maps.google.com/?q=35.1788,-79.43007" TargetMode="External"/><Relationship Id="rId43" Type="http://schemas.openxmlformats.org/officeDocument/2006/relationships/hyperlink" Target="http://maps.google.com/?q=35.177,-79.4373"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http://maps.google.com/?q=35.176903,-79.43499" TargetMode="External"/><Relationship Id="rId13" Type="http://schemas.openxmlformats.org/officeDocument/2006/relationships/hyperlink" Target="http://maps.google.com/?q=35.1767,-79.44001" TargetMode="External"/><Relationship Id="rId18" Type="http://schemas.openxmlformats.org/officeDocument/2006/relationships/hyperlink" Target="http://maps.google.com/?q=35.17837,-79.43149" TargetMode="External"/><Relationship Id="rId26" Type="http://schemas.openxmlformats.org/officeDocument/2006/relationships/hyperlink" Target="http://maps.google.com/?q=35.17742,-79.43175" TargetMode="External"/><Relationship Id="rId39" Type="http://schemas.openxmlformats.org/officeDocument/2006/relationships/hyperlink" Target="http://maps.google.com/?q=35.176638,-79.440676" TargetMode="External"/><Relationship Id="rId3" Type="http://schemas.openxmlformats.org/officeDocument/2006/relationships/hyperlink" Target="http://maps.google.com/?q=35.17374,-79.413404" TargetMode="External"/><Relationship Id="rId21" Type="http://schemas.openxmlformats.org/officeDocument/2006/relationships/hyperlink" Target="http://maps.google.com/?q=35.17758,-79.43134" TargetMode="External"/><Relationship Id="rId34" Type="http://schemas.openxmlformats.org/officeDocument/2006/relationships/hyperlink" Target="http://maps.google.com/?q=35.17738,-79.4314" TargetMode="External"/><Relationship Id="rId42" Type="http://schemas.openxmlformats.org/officeDocument/2006/relationships/hyperlink" Target="http://maps.google.com/?q=35.177004,-79.43783" TargetMode="External"/><Relationship Id="rId7" Type="http://schemas.openxmlformats.org/officeDocument/2006/relationships/hyperlink" Target="http://maps.google.com/?q=35.17773,-79.43463" TargetMode="External"/><Relationship Id="rId12" Type="http://schemas.openxmlformats.org/officeDocument/2006/relationships/hyperlink" Target="http://maps.google.com/?q=35.17689,-79.43502" TargetMode="External"/><Relationship Id="rId17" Type="http://schemas.openxmlformats.org/officeDocument/2006/relationships/hyperlink" Target="http://maps.google.com/?q=35.177266,-79.43255" TargetMode="External"/><Relationship Id="rId25" Type="http://schemas.openxmlformats.org/officeDocument/2006/relationships/hyperlink" Target="http://maps.google.com/?q=35.17708,-79.43161" TargetMode="External"/><Relationship Id="rId33" Type="http://schemas.openxmlformats.org/officeDocument/2006/relationships/hyperlink" Target="http://maps.google.com/?q=35.17014,-79.40596" TargetMode="External"/><Relationship Id="rId38" Type="http://schemas.openxmlformats.org/officeDocument/2006/relationships/hyperlink" Target="http://maps.google.com/?q=35.1813,-79.4361" TargetMode="External"/><Relationship Id="rId2" Type="http://schemas.openxmlformats.org/officeDocument/2006/relationships/hyperlink" Target="http://maps.google.com/?q=35.17751,-79.42808" TargetMode="External"/><Relationship Id="rId16" Type="http://schemas.openxmlformats.org/officeDocument/2006/relationships/hyperlink" Target="http://maps.google.com/?q=35.1772,-79.4318" TargetMode="External"/><Relationship Id="rId20" Type="http://schemas.openxmlformats.org/officeDocument/2006/relationships/hyperlink" Target="http://maps.google.com/?q=35.17777,-79.43165" TargetMode="External"/><Relationship Id="rId29" Type="http://schemas.openxmlformats.org/officeDocument/2006/relationships/hyperlink" Target="http://maps.google.com/?q=35.171215,-79.40848" TargetMode="External"/><Relationship Id="rId41" Type="http://schemas.openxmlformats.org/officeDocument/2006/relationships/hyperlink" Target="http://maps.google.com/?q=35.1695,-79.404361" TargetMode="External"/><Relationship Id="rId1" Type="http://schemas.openxmlformats.org/officeDocument/2006/relationships/hyperlink" Target="http://maps.google.com/?q=35.178255,-79.428002" TargetMode="External"/><Relationship Id="rId6" Type="http://schemas.openxmlformats.org/officeDocument/2006/relationships/hyperlink" Target="http://maps.google.com/?q=35.17695,-79.43597" TargetMode="External"/><Relationship Id="rId11" Type="http://schemas.openxmlformats.org/officeDocument/2006/relationships/hyperlink" Target="http://maps.google.com/?q=35.17705,-79.43551" TargetMode="External"/><Relationship Id="rId24" Type="http://schemas.openxmlformats.org/officeDocument/2006/relationships/hyperlink" Target="http://maps.google.com/?q=35.17805,-79.42992" TargetMode="External"/><Relationship Id="rId32" Type="http://schemas.openxmlformats.org/officeDocument/2006/relationships/hyperlink" Target="http://maps.google.com/?q=35.17668,-79.43083" TargetMode="External"/><Relationship Id="rId37" Type="http://schemas.openxmlformats.org/officeDocument/2006/relationships/hyperlink" Target="http://maps.google.com/?q=35.17732,-79.43191" TargetMode="External"/><Relationship Id="rId40" Type="http://schemas.openxmlformats.org/officeDocument/2006/relationships/hyperlink" Target="http://maps.google.com/?q=35.197247,-79.426888" TargetMode="External"/><Relationship Id="rId45" Type="http://schemas.openxmlformats.org/officeDocument/2006/relationships/hyperlink" Target="http://maps.google.com/?q=35.177001,-79.43497" TargetMode="External"/><Relationship Id="rId5" Type="http://schemas.openxmlformats.org/officeDocument/2006/relationships/hyperlink" Target="http://maps.google.com/?q=35.18058,-79.45108" TargetMode="External"/><Relationship Id="rId15" Type="http://schemas.openxmlformats.org/officeDocument/2006/relationships/hyperlink" Target="http://maps.google.com/?q=35.17731,-79.43169" TargetMode="External"/><Relationship Id="rId23" Type="http://schemas.openxmlformats.org/officeDocument/2006/relationships/hyperlink" Target="http://maps.google.com/?q=35.17764,-79.43078" TargetMode="External"/><Relationship Id="rId28" Type="http://schemas.openxmlformats.org/officeDocument/2006/relationships/hyperlink" Target="http://maps.google.com/?q=35.171573,-79.409191" TargetMode="External"/><Relationship Id="rId36" Type="http://schemas.openxmlformats.org/officeDocument/2006/relationships/hyperlink" Target="http://maps.google.com/?q=35.177645,-79.431486" TargetMode="External"/><Relationship Id="rId10" Type="http://schemas.openxmlformats.org/officeDocument/2006/relationships/hyperlink" Target="http://maps.google.com/?q=35.17699,-79.43497" TargetMode="External"/><Relationship Id="rId19" Type="http://schemas.openxmlformats.org/officeDocument/2006/relationships/hyperlink" Target="http://maps.google.com/?q=35.176965,-79.43411" TargetMode="External"/><Relationship Id="rId31" Type="http://schemas.openxmlformats.org/officeDocument/2006/relationships/hyperlink" Target="http://maps.google.com/?q=35.17575,-79.4293" TargetMode="External"/><Relationship Id="rId44" Type="http://schemas.openxmlformats.org/officeDocument/2006/relationships/hyperlink" Target="http://maps.google.com/?q=35.177001,-79.43497" TargetMode="External"/><Relationship Id="rId4" Type="http://schemas.openxmlformats.org/officeDocument/2006/relationships/hyperlink" Target="http://maps.google.com/?q=35.18114,-79.45304" TargetMode="External"/><Relationship Id="rId9" Type="http://schemas.openxmlformats.org/officeDocument/2006/relationships/hyperlink" Target="http://maps.google.com/?q=35.176964,-79.43492" TargetMode="External"/><Relationship Id="rId14" Type="http://schemas.openxmlformats.org/officeDocument/2006/relationships/hyperlink" Target="http://maps.google.com/?q=35.1771,-79.43303" TargetMode="External"/><Relationship Id="rId22" Type="http://schemas.openxmlformats.org/officeDocument/2006/relationships/hyperlink" Target="http://maps.google.com/?q=35.177053,-79.43338" TargetMode="External"/><Relationship Id="rId27" Type="http://schemas.openxmlformats.org/officeDocument/2006/relationships/hyperlink" Target="http://maps.google.com/?q=35.175645,-79.420618" TargetMode="External"/><Relationship Id="rId30" Type="http://schemas.openxmlformats.org/officeDocument/2006/relationships/hyperlink" Target="http://maps.google.com/?q=35.169079,-79.403542" TargetMode="External"/><Relationship Id="rId35" Type="http://schemas.openxmlformats.org/officeDocument/2006/relationships/hyperlink" Target="http://maps.google.com/?q=35.1788,-79.43007" TargetMode="External"/><Relationship Id="rId43" Type="http://schemas.openxmlformats.org/officeDocument/2006/relationships/hyperlink" Target="http://maps.google.com/?q=35.177,-79.4373"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openxmlformats.org/officeDocument/2006/relationships/hyperlink" Target="file:///C:\Users\cbahret\Crash%20Analysis"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7A013-059D-4EA3-AC9F-AE6BE1611C81}">
  <sheetPr codeName="Sheet1"/>
  <dimension ref="A1"/>
  <sheetViews>
    <sheetView zoomScaleNormal="100" workbookViewId="0"/>
  </sheetViews>
  <sheetFormatPr defaultRowHeight="14.4"/>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A221E0-529C-4955-B371-D463F188F6A9}">
  <sheetPr codeName="Sheet2"/>
  <dimension ref="B1:I28"/>
  <sheetViews>
    <sheetView workbookViewId="0"/>
  </sheetViews>
  <sheetFormatPr defaultRowHeight="14.4"/>
  <cols>
    <col min="1" max="2" width="2.7890625" customWidth="1"/>
    <col min="3" max="3" width="39.15625" bestFit="1" customWidth="1"/>
    <col min="4" max="5" width="10.26171875" bestFit="1" customWidth="1"/>
    <col min="6" max="6" width="44.5234375" customWidth="1"/>
    <col min="7" max="7" width="58.734375" customWidth="1"/>
    <col min="8" max="8" width="61" bestFit="1" customWidth="1"/>
    <col min="9" max="10" width="2.7890625" customWidth="1"/>
  </cols>
  <sheetData>
    <row r="1" spans="2:9" ht="14.7" thickBot="1"/>
    <row r="2" spans="2:9" ht="26.1" thickBot="1">
      <c r="B2" s="677" t="s">
        <v>107</v>
      </c>
      <c r="C2" s="678"/>
      <c r="D2" s="678"/>
      <c r="E2" s="678"/>
      <c r="F2" s="678"/>
      <c r="G2" s="678"/>
      <c r="H2" s="678"/>
      <c r="I2" s="679"/>
    </row>
    <row r="3" spans="2:9" ht="18.600000000000001" thickBot="1">
      <c r="B3" s="3"/>
      <c r="C3" s="29"/>
      <c r="D3" s="30"/>
      <c r="E3" s="30"/>
      <c r="F3" s="12"/>
      <c r="G3" s="12"/>
      <c r="H3" s="12"/>
      <c r="I3" s="4"/>
    </row>
    <row r="4" spans="2:9" ht="18.600000000000001" thickBot="1">
      <c r="B4" s="3"/>
      <c r="C4" s="38" t="s">
        <v>108</v>
      </c>
      <c r="D4" s="39" t="s">
        <v>47</v>
      </c>
      <c r="E4" s="40" t="s">
        <v>49</v>
      </c>
      <c r="F4" s="41" t="s">
        <v>70</v>
      </c>
      <c r="G4" s="42" t="s">
        <v>71</v>
      </c>
      <c r="H4" s="38" t="s">
        <v>56</v>
      </c>
      <c r="I4" s="4"/>
    </row>
    <row r="5" spans="2:9" ht="28.8">
      <c r="B5" s="3"/>
      <c r="C5" s="35" t="s">
        <v>72</v>
      </c>
      <c r="D5" s="26" t="s">
        <v>61</v>
      </c>
      <c r="E5" s="23" t="s">
        <v>61</v>
      </c>
      <c r="F5" s="13" t="s">
        <v>73</v>
      </c>
      <c r="G5" s="14" t="s">
        <v>74</v>
      </c>
      <c r="H5" s="15" t="s">
        <v>75</v>
      </c>
      <c r="I5" s="4"/>
    </row>
    <row r="6" spans="2:9">
      <c r="B6" s="3"/>
      <c r="C6" s="36" t="s">
        <v>76</v>
      </c>
      <c r="D6" s="27" t="s">
        <v>61</v>
      </c>
      <c r="E6" s="24"/>
      <c r="F6" s="16" t="s">
        <v>77</v>
      </c>
      <c r="G6" s="17"/>
      <c r="H6" s="18"/>
      <c r="I6" s="4"/>
    </row>
    <row r="7" spans="2:9" ht="57.6">
      <c r="B7" s="3"/>
      <c r="C7" s="36" t="s">
        <v>174</v>
      </c>
      <c r="D7" s="27" t="s">
        <v>61</v>
      </c>
      <c r="E7" s="24"/>
      <c r="F7" s="16" t="s">
        <v>78</v>
      </c>
      <c r="G7" s="17"/>
      <c r="H7" s="18" t="s">
        <v>182</v>
      </c>
      <c r="I7" s="4"/>
    </row>
    <row r="8" spans="2:9" ht="28.8">
      <c r="B8" s="3"/>
      <c r="C8" s="36" t="s">
        <v>121</v>
      </c>
      <c r="D8" s="27" t="s">
        <v>61</v>
      </c>
      <c r="E8" s="24"/>
      <c r="F8" s="16" t="s">
        <v>77</v>
      </c>
      <c r="G8" s="17"/>
      <c r="H8" s="18"/>
      <c r="I8" s="4"/>
    </row>
    <row r="9" spans="2:9">
      <c r="B9" s="3"/>
      <c r="C9" s="36" t="s">
        <v>79</v>
      </c>
      <c r="D9" s="27" t="s">
        <v>61</v>
      </c>
      <c r="E9" s="24"/>
      <c r="F9" s="16" t="s">
        <v>77</v>
      </c>
      <c r="G9" s="17"/>
      <c r="H9" s="18"/>
      <c r="I9" s="4"/>
    </row>
    <row r="10" spans="2:9" ht="43.2">
      <c r="B10" s="3"/>
      <c r="C10" s="36" t="s">
        <v>117</v>
      </c>
      <c r="D10" s="27" t="s">
        <v>61</v>
      </c>
      <c r="E10" s="24"/>
      <c r="F10" s="16" t="s">
        <v>119</v>
      </c>
      <c r="G10" s="17"/>
      <c r="H10" s="18" t="s">
        <v>120</v>
      </c>
      <c r="I10" s="4"/>
    </row>
    <row r="11" spans="2:9" ht="28.8">
      <c r="B11" s="3"/>
      <c r="C11" s="36" t="s">
        <v>118</v>
      </c>
      <c r="D11" s="27" t="s">
        <v>61</v>
      </c>
      <c r="E11" s="24"/>
      <c r="F11" s="16" t="s">
        <v>73</v>
      </c>
      <c r="G11" s="17"/>
      <c r="H11" s="18" t="s">
        <v>134</v>
      </c>
      <c r="I11" s="4"/>
    </row>
    <row r="12" spans="2:9" ht="28.8">
      <c r="B12" s="3"/>
      <c r="C12" s="36" t="s">
        <v>80</v>
      </c>
      <c r="D12" s="27" t="s">
        <v>61</v>
      </c>
      <c r="E12" s="24" t="s">
        <v>61</v>
      </c>
      <c r="F12" s="16" t="s">
        <v>77</v>
      </c>
      <c r="G12" s="17" t="s">
        <v>81</v>
      </c>
      <c r="H12" s="18" t="s">
        <v>82</v>
      </c>
      <c r="I12" s="4"/>
    </row>
    <row r="13" spans="2:9" ht="28.8">
      <c r="B13" s="3"/>
      <c r="C13" s="36" t="s">
        <v>83</v>
      </c>
      <c r="D13" s="27" t="s">
        <v>61</v>
      </c>
      <c r="E13" s="24" t="s">
        <v>61</v>
      </c>
      <c r="F13" s="16" t="s">
        <v>74</v>
      </c>
      <c r="G13" s="17" t="s">
        <v>84</v>
      </c>
      <c r="H13" s="18" t="s">
        <v>85</v>
      </c>
      <c r="I13" s="4"/>
    </row>
    <row r="14" spans="2:9" ht="28.8">
      <c r="B14" s="3"/>
      <c r="C14" s="36" t="s">
        <v>86</v>
      </c>
      <c r="D14" s="27" t="s">
        <v>61</v>
      </c>
      <c r="E14" s="24"/>
      <c r="F14" s="16" t="s">
        <v>84</v>
      </c>
      <c r="G14" s="17"/>
      <c r="H14" s="18"/>
      <c r="I14" s="4"/>
    </row>
    <row r="15" spans="2:9" ht="43.2">
      <c r="B15" s="3"/>
      <c r="C15" s="36" t="s">
        <v>87</v>
      </c>
      <c r="D15" s="27" t="s">
        <v>61</v>
      </c>
      <c r="E15" s="24" t="s">
        <v>61</v>
      </c>
      <c r="F15" s="16" t="s">
        <v>78</v>
      </c>
      <c r="G15" s="17" t="s">
        <v>88</v>
      </c>
      <c r="H15" s="18" t="s">
        <v>183</v>
      </c>
      <c r="I15" s="4"/>
    </row>
    <row r="16" spans="2:9">
      <c r="B16" s="3"/>
      <c r="C16" s="36" t="s">
        <v>89</v>
      </c>
      <c r="D16" s="27" t="s">
        <v>61</v>
      </c>
      <c r="E16" s="24"/>
      <c r="F16" s="16" t="s">
        <v>77</v>
      </c>
      <c r="G16" s="17"/>
      <c r="H16" s="18"/>
      <c r="I16" s="4"/>
    </row>
    <row r="17" spans="2:9">
      <c r="B17" s="3"/>
      <c r="C17" s="36" t="s">
        <v>90</v>
      </c>
      <c r="D17" s="27" t="s">
        <v>61</v>
      </c>
      <c r="E17" s="24"/>
      <c r="F17" s="16" t="s">
        <v>91</v>
      </c>
      <c r="G17" s="17"/>
      <c r="H17" s="18" t="s">
        <v>92</v>
      </c>
      <c r="I17" s="4"/>
    </row>
    <row r="18" spans="2:9" ht="28.8">
      <c r="B18" s="3"/>
      <c r="C18" s="36" t="s">
        <v>93</v>
      </c>
      <c r="D18" s="27" t="s">
        <v>61</v>
      </c>
      <c r="E18" s="24" t="s">
        <v>61</v>
      </c>
      <c r="F18" s="16" t="s">
        <v>94</v>
      </c>
      <c r="G18" s="17" t="s">
        <v>95</v>
      </c>
      <c r="H18" s="18" t="s">
        <v>96</v>
      </c>
      <c r="I18" s="4"/>
    </row>
    <row r="19" spans="2:9" ht="28.8">
      <c r="B19" s="3"/>
      <c r="C19" s="36" t="s">
        <v>97</v>
      </c>
      <c r="D19" s="27" t="s">
        <v>61</v>
      </c>
      <c r="E19" s="24" t="s">
        <v>61</v>
      </c>
      <c r="F19" s="16" t="s">
        <v>74</v>
      </c>
      <c r="G19" s="17" t="s">
        <v>98</v>
      </c>
      <c r="H19" s="18" t="s">
        <v>99</v>
      </c>
      <c r="I19" s="4"/>
    </row>
    <row r="20" spans="2:9" ht="57.6">
      <c r="B20" s="3"/>
      <c r="C20" s="36" t="s">
        <v>100</v>
      </c>
      <c r="D20" s="27" t="s">
        <v>61</v>
      </c>
      <c r="E20" s="24"/>
      <c r="F20" s="16" t="s">
        <v>77</v>
      </c>
      <c r="G20" s="17"/>
      <c r="H20" s="18" t="s">
        <v>184</v>
      </c>
      <c r="I20" s="4"/>
    </row>
    <row r="21" spans="2:9" ht="43.2">
      <c r="B21" s="3"/>
      <c r="C21" s="36" t="s">
        <v>101</v>
      </c>
      <c r="D21" s="27" t="s">
        <v>61</v>
      </c>
      <c r="E21" s="24"/>
      <c r="F21" s="16" t="s">
        <v>77</v>
      </c>
      <c r="G21" s="19"/>
      <c r="H21" s="18" t="s">
        <v>102</v>
      </c>
      <c r="I21" s="4"/>
    </row>
    <row r="22" spans="2:9" ht="28.8">
      <c r="B22" s="3"/>
      <c r="C22" s="36" t="s">
        <v>103</v>
      </c>
      <c r="D22" s="27" t="s">
        <v>61</v>
      </c>
      <c r="E22" s="24"/>
      <c r="F22" s="16" t="s">
        <v>84</v>
      </c>
      <c r="G22" s="19"/>
      <c r="H22" s="18"/>
      <c r="I22" s="4"/>
    </row>
    <row r="23" spans="2:9" ht="28.8">
      <c r="B23" s="3"/>
      <c r="C23" s="36" t="s">
        <v>104</v>
      </c>
      <c r="D23" s="27" t="s">
        <v>61</v>
      </c>
      <c r="E23" s="24"/>
      <c r="F23" s="16" t="s">
        <v>84</v>
      </c>
      <c r="G23" s="17"/>
      <c r="H23" s="18"/>
      <c r="I23" s="4"/>
    </row>
    <row r="24" spans="2:9" ht="86.7" thickBot="1">
      <c r="B24" s="3"/>
      <c r="C24" s="37" t="s">
        <v>105</v>
      </c>
      <c r="D24" s="28" t="s">
        <v>61</v>
      </c>
      <c r="E24" s="25"/>
      <c r="F24" s="20" t="s">
        <v>122</v>
      </c>
      <c r="G24" s="21"/>
      <c r="H24" s="22" t="s">
        <v>175</v>
      </c>
      <c r="I24" s="4"/>
    </row>
    <row r="25" spans="2:9">
      <c r="B25" s="3"/>
      <c r="C25" s="30"/>
      <c r="D25" s="31"/>
      <c r="E25" s="31"/>
      <c r="F25" s="12"/>
      <c r="G25" s="12"/>
      <c r="H25" s="12"/>
      <c r="I25" s="4"/>
    </row>
    <row r="26" spans="2:9" ht="18.3">
      <c r="B26" s="11" t="s">
        <v>109</v>
      </c>
      <c r="C26" s="30"/>
      <c r="D26" s="31"/>
      <c r="E26" s="31"/>
      <c r="F26" s="12"/>
      <c r="G26" s="12"/>
      <c r="H26" s="12"/>
      <c r="I26" s="4"/>
    </row>
    <row r="27" spans="2:9">
      <c r="B27" s="6" t="s">
        <v>45</v>
      </c>
      <c r="C27" s="32" t="s">
        <v>110</v>
      </c>
      <c r="D27" s="31"/>
      <c r="E27" s="31"/>
      <c r="F27" s="12"/>
      <c r="G27" s="12"/>
      <c r="H27" s="12"/>
      <c r="I27" s="4"/>
    </row>
    <row r="28" spans="2:9" ht="14.7" thickBot="1">
      <c r="B28" s="7"/>
      <c r="C28" s="8"/>
      <c r="D28" s="8"/>
      <c r="E28" s="8"/>
      <c r="F28" s="8"/>
      <c r="G28" s="8"/>
      <c r="H28" s="8"/>
      <c r="I28" s="9"/>
    </row>
  </sheetData>
  <mergeCells count="1">
    <mergeCell ref="B2:I2"/>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43CB9D-D9E8-48C8-A586-286575CE1062}">
  <sheetPr codeName="Sheet3"/>
  <dimension ref="B1:R33"/>
  <sheetViews>
    <sheetView zoomScaleNormal="100" workbookViewId="0">
      <selection activeCell="D6" sqref="D6"/>
    </sheetView>
  </sheetViews>
  <sheetFormatPr defaultColWidth="9.15625" defaultRowHeight="14.4"/>
  <cols>
    <col min="1" max="1" width="2.734375" style="98" customWidth="1"/>
    <col min="2" max="2" width="3.15625" style="98" customWidth="1"/>
    <col min="3" max="3" width="22.26171875" style="98" bestFit="1" customWidth="1"/>
    <col min="4" max="4" width="120.15625" style="98" customWidth="1"/>
    <col min="5" max="5" width="40.5234375" style="98" customWidth="1"/>
    <col min="6" max="6" width="4.47265625" style="98" customWidth="1"/>
    <col min="7" max="7" width="24.47265625" style="98" customWidth="1"/>
    <col min="8" max="8" width="25.734375" style="98" bestFit="1" customWidth="1"/>
    <col min="9" max="9" width="8.26171875" style="98" bestFit="1" customWidth="1"/>
    <col min="10" max="10" width="5" style="98" customWidth="1"/>
    <col min="11" max="11" width="22.47265625" style="98" bestFit="1" customWidth="1"/>
    <col min="12" max="12" width="27" style="98" customWidth="1"/>
    <col min="13" max="13" width="10.734375" style="98" bestFit="1" customWidth="1"/>
    <col min="14" max="14" width="14" style="98" bestFit="1" customWidth="1"/>
    <col min="15" max="15" width="17.5234375" style="98" bestFit="1" customWidth="1"/>
    <col min="16" max="16" width="13.5234375" style="98" customWidth="1"/>
    <col min="17" max="17" width="62.7890625" style="98" bestFit="1" customWidth="1"/>
    <col min="18" max="18" width="3.734375" style="98" customWidth="1"/>
    <col min="19" max="16384" width="9.15625" style="98"/>
  </cols>
  <sheetData>
    <row r="1" spans="2:18" ht="14.7" thickBot="1"/>
    <row r="2" spans="2:18" ht="15" customHeight="1">
      <c r="B2" s="680" t="s">
        <v>323</v>
      </c>
      <c r="C2" s="681"/>
      <c r="D2" s="681"/>
      <c r="E2" s="681"/>
      <c r="F2" s="681"/>
      <c r="G2" s="681"/>
      <c r="H2" s="681"/>
      <c r="I2" s="681"/>
      <c r="J2" s="681"/>
      <c r="K2" s="681"/>
      <c r="L2" s="681"/>
      <c r="M2" s="681"/>
      <c r="N2" s="681"/>
      <c r="O2" s="681"/>
      <c r="P2" s="681"/>
      <c r="Q2" s="681"/>
      <c r="R2" s="682"/>
    </row>
    <row r="3" spans="2:18" ht="15" customHeight="1" thickBot="1">
      <c r="B3" s="683"/>
      <c r="C3" s="684"/>
      <c r="D3" s="684"/>
      <c r="E3" s="684"/>
      <c r="F3" s="684"/>
      <c r="G3" s="684"/>
      <c r="H3" s="684"/>
      <c r="I3" s="684"/>
      <c r="J3" s="684"/>
      <c r="K3" s="684"/>
      <c r="L3" s="684"/>
      <c r="M3" s="684"/>
      <c r="N3" s="684"/>
      <c r="O3" s="684"/>
      <c r="P3" s="684"/>
      <c r="Q3" s="684"/>
      <c r="R3" s="685"/>
    </row>
    <row r="4" spans="2:18" ht="15" customHeight="1" thickBot="1">
      <c r="B4" s="112"/>
      <c r="C4" s="113"/>
      <c r="D4" s="113"/>
      <c r="E4" s="113"/>
      <c r="F4" s="113"/>
      <c r="G4" s="113"/>
      <c r="H4" s="113"/>
      <c r="I4" s="113"/>
      <c r="J4" s="113"/>
      <c r="K4" s="113"/>
      <c r="L4" s="113"/>
      <c r="M4" s="113"/>
      <c r="N4" s="114"/>
      <c r="O4" s="114"/>
      <c r="P4" s="114"/>
      <c r="Q4" s="114"/>
      <c r="R4" s="115"/>
    </row>
    <row r="5" spans="2:18" ht="16.5" customHeight="1" thickBot="1">
      <c r="B5" s="116"/>
      <c r="C5" s="114"/>
      <c r="D5" s="117"/>
      <c r="E5" s="118" t="s">
        <v>350</v>
      </c>
      <c r="F5" s="117"/>
      <c r="G5" s="119"/>
      <c r="H5" s="120" t="s">
        <v>111</v>
      </c>
      <c r="I5" s="114"/>
      <c r="J5" s="114"/>
      <c r="K5" s="688" t="s">
        <v>42</v>
      </c>
      <c r="L5" s="689"/>
      <c r="M5" s="114"/>
      <c r="O5" s="121" t="s">
        <v>374</v>
      </c>
      <c r="P5" s="114"/>
      <c r="Q5" s="114"/>
      <c r="R5" s="115"/>
    </row>
    <row r="6" spans="2:18">
      <c r="B6" s="116"/>
      <c r="C6" s="122" t="s">
        <v>135</v>
      </c>
      <c r="D6" s="123">
        <v>41000076575</v>
      </c>
      <c r="E6" s="124"/>
      <c r="F6" s="117"/>
      <c r="G6" s="125" t="s">
        <v>149</v>
      </c>
      <c r="H6" s="201">
        <f>YEARFRAC(H7,H8)</f>
        <v>5.0</v>
      </c>
      <c r="I6" s="114"/>
      <c r="J6" s="114"/>
      <c r="K6" s="690" t="s">
        <v>332</v>
      </c>
      <c r="L6" s="691"/>
      <c r="M6" s="114"/>
      <c r="N6" s="126" t="s">
        <v>373</v>
      </c>
      <c r="O6" s="127">
        <v>45</v>
      </c>
      <c r="P6" s="114"/>
      <c r="Q6" s="114"/>
      <c r="R6" s="115"/>
    </row>
    <row r="7" spans="2:18" ht="14.7" thickBot="1">
      <c r="B7" s="116"/>
      <c r="C7" s="128" t="s">
        <v>136</v>
      </c>
      <c r="D7" s="599" t="inlineStr">
        <is>
          <t xml:space="preserve">05-08-203 (TIP #W-5601HP)</t>
        </is>
      </c>
      <c r="E7" s="130"/>
      <c r="F7" s="117"/>
      <c r="G7" s="131" t="s">
        <v>142</v>
      </c>
      <c r="H7" s="132">
        <v>40544</v>
      </c>
      <c r="I7" s="114"/>
      <c r="J7" s="114"/>
      <c r="K7" s="692" t="s">
        <v>330</v>
      </c>
      <c r="L7" s="693"/>
      <c r="M7" s="114"/>
      <c r="N7" s="133" t="s">
        <v>372</v>
      </c>
      <c r="O7" s="134">
        <v>35</v>
      </c>
      <c r="P7" s="114"/>
      <c r="Q7" s="114"/>
      <c r="R7" s="115"/>
    </row>
    <row r="8" spans="2:18" ht="14.7" thickBot="1">
      <c r="B8" s="116"/>
      <c r="C8" s="128" t="s">
        <v>324</v>
      </c>
      <c r="D8" s="129" t="inlineStr">
        <is>
          <t xml:space="preserve">05-1723</t>
        </is>
      </c>
      <c r="E8" s="130"/>
      <c r="F8" s="117"/>
      <c r="G8" s="131" t="s">
        <v>143</v>
      </c>
      <c r="H8" s="132">
        <v>42369</v>
      </c>
      <c r="I8" s="114"/>
      <c r="J8" s="114"/>
      <c r="K8" s="694" t="s">
        <v>331</v>
      </c>
      <c r="L8" s="695"/>
      <c r="M8" s="114"/>
      <c r="N8" s="114"/>
      <c r="O8" s="114"/>
      <c r="P8" s="114"/>
      <c r="Q8" s="114"/>
      <c r="R8" s="115"/>
    </row>
    <row r="9" spans="2:18" ht="14.7" thickBot="1">
      <c r="B9" s="116"/>
      <c r="C9" s="128" t="s">
        <v>140</v>
      </c>
      <c r="D9" s="129" t="inlineStr">
        <is>
          <t xml:space="preserve">SR 1375 (Lake Wheeler Road) at SR 1390 (Optimist Farm Road)/SR 1503 (Donnybrook Road)</t>
        </is>
      </c>
      <c r="E9" s="130"/>
      <c r="F9" s="117"/>
      <c r="G9" s="135"/>
      <c r="H9" s="136"/>
      <c r="I9" s="120" t="s">
        <v>357</v>
      </c>
      <c r="J9" s="114"/>
      <c r="K9" s="686" t="s">
        <v>736</v>
      </c>
      <c r="L9" s="687"/>
      <c r="M9" s="114"/>
      <c r="N9" s="114"/>
      <c r="O9" s="114"/>
      <c r="P9" s="114"/>
      <c r="Q9" s="114"/>
      <c r="R9" s="115"/>
    </row>
    <row r="10" spans="2:18" ht="14.7" thickBot="1">
      <c r="B10" s="116"/>
      <c r="C10" s="128" t="s">
        <v>157</v>
      </c>
      <c r="D10" s="594" t="inlineStr">
        <is>
          <t xml:space="preserve">35.657816, -78.717261</t>
        </is>
      </c>
      <c r="E10" s="130"/>
      <c r="F10" s="117"/>
      <c r="G10" s="137" t="s">
        <v>13</v>
      </c>
      <c r="H10" s="138">
        <v>35</v>
      </c>
      <c r="I10" s="202">
        <f>H10/$H$6</f>
        <v>7.0</v>
      </c>
      <c r="J10" s="114"/>
      <c r="K10" s="139" t="s">
        <v>358</v>
      </c>
      <c r="L10" s="114"/>
      <c r="M10" s="140"/>
      <c r="N10" s="114"/>
      <c r="O10" s="114"/>
      <c r="P10" s="114"/>
      <c r="Q10" s="114"/>
      <c r="R10" s="115"/>
    </row>
    <row r="11" spans="2:18" ht="14.7" thickBot="1">
      <c r="B11" s="116"/>
      <c r="C11" s="128" t="s">
        <v>137</v>
      </c>
      <c r="D11" s="129" t="inlineStr">
        <is>
          <t xml:space="preserve">Wake</t>
        </is>
      </c>
      <c r="E11" s="130"/>
      <c r="F11" s="117"/>
      <c r="G11" s="141" t="s">
        <v>150</v>
      </c>
      <c r="H11" s="138">
        <v>0</v>
      </c>
      <c r="I11" s="203">
        <f t="shared" ref="I11:I15" si="0">H11/$H$6</f>
        <v>0.0</v>
      </c>
      <c r="J11" s="114"/>
      <c r="K11" s="142" t="s">
        <v>351</v>
      </c>
      <c r="L11" s="143" t="s">
        <v>352</v>
      </c>
      <c r="M11" s="143" t="s">
        <v>353</v>
      </c>
      <c r="N11" s="143" t="s">
        <v>355</v>
      </c>
      <c r="O11" s="144" t="s">
        <v>354</v>
      </c>
      <c r="P11" s="145" t="s">
        <v>356</v>
      </c>
      <c r="Q11" s="146" t="s">
        <v>712</v>
      </c>
      <c r="R11" s="115"/>
    </row>
    <row r="12" spans="2:18">
      <c r="B12" s="116"/>
      <c r="C12" s="128" t="s">
        <v>138</v>
      </c>
      <c r="D12" s="129" t="inlineStr">
        <is>
          <t xml:space="preserve">Fuquay-Varina (unincorporated Wake County)</t>
        </is>
      </c>
      <c r="E12" s="130"/>
      <c r="F12" s="117"/>
      <c r="G12" s="141" t="s">
        <v>151</v>
      </c>
      <c r="H12" s="138">
        <v>0</v>
      </c>
      <c r="I12" s="203">
        <f t="shared" si="0"/>
        <v>0.0</v>
      </c>
      <c r="J12" s="114"/>
      <c r="K12" s="147" t="inlineStr">
        <is>
          <t xml:space="preserve">East</t>
        </is>
      </c>
      <c r="L12" s="148" t="inlineStr">
        <is>
          <t xml:space="preserve">SR 1503 (Donnybrook Road)</t>
        </is>
      </c>
      <c r="M12" s="148">
        <v>45</v>
      </c>
      <c r="N12" s="148">
        <v>2025</v>
      </c>
      <c r="O12" s="656">
        <f>'Evaluation Set-up'!P26</f>
        <v>2400</v>
      </c>
      <c r="P12" s="149" t="b">
        <v>1</v>
      </c>
      <c r="Q12" s="205" t="str">
        <f>K12&amp;" leg: "&amp;L12&amp;", "&amp;M12&amp;" mph, "&amp;N12&amp;" AADT: "&amp;O12&amp;IF(P12," (est)","")</f>
        <v>East leg: SR 1503 (Donnybrook Road), 45 mph, 2025 AADT: 2400 (est)</v>
      </c>
      <c r="R12" s="115"/>
    </row>
    <row r="13" spans="2:18">
      <c r="B13" s="116"/>
      <c r="C13" s="128" t="s">
        <v>139</v>
      </c>
      <c r="D13" s="568">
        <f>IFERROR(_xlfn.XLOOKUP(D11,'For NCDOT staff - for Tracking'!G39:G139,'For NCDOT staff - for Tracking'!H39:H139),"")</f>
        <v>5</v>
      </c>
      <c r="E13" s="130"/>
      <c r="F13" s="117"/>
      <c r="G13" s="141" t="s">
        <v>152</v>
      </c>
      <c r="H13" s="138">
        <v>2</v>
      </c>
      <c r="I13" s="203">
        <f t="shared" si="0"/>
        <v>0.4</v>
      </c>
      <c r="J13" s="114"/>
      <c r="K13" s="150" t="inlineStr">
        <is>
          <t xml:space="preserve">West</t>
        </is>
      </c>
      <c r="L13" s="148" t="inlineStr">
        <is>
          <t xml:space="preserve">SR 1390 (Optimist Farm Road)</t>
        </is>
      </c>
      <c r="M13" s="151">
        <v>35</v>
      </c>
      <c r="N13" s="151">
        <v>2025</v>
      </c>
      <c r="O13" s="657">
        <f>'Evaluation Set-up'!O26</f>
        <v>4800</v>
      </c>
      <c r="P13" s="152" t="b">
        <v>1</v>
      </c>
      <c r="Q13" s="205" t="str">
        <f t="shared" ref="Q13:Q14" si="1">K13&amp;" leg: "&amp;L13&amp;", "&amp;M13&amp;" mph, "&amp;N13&amp;" AADT: "&amp;O13&amp;IF(P13," (est)","")</f>
        <v>West leg: SR 1390 (Optimist Farm Road), 35 mph, 2025 AADT: 4800 (est)</v>
      </c>
      <c r="R13" s="115"/>
    </row>
    <row r="14" spans="2:18" ht="33" customHeight="1">
      <c r="B14" s="116"/>
      <c r="C14" s="128" t="s">
        <v>141</v>
      </c>
      <c r="D14" s="153" t="inlineStr">
        <is>
          <t xml:space="preserve">Realign SR 1390 (Optimist Farm Road) and SR 1503 (Donnybrook Road) to tie directly across from one another and install shoulder-mounted actuated ("Vehicle Entering When Flashing") flashers in both directions on SR 1375 (Lake Wheeler Road)</t>
        </is>
      </c>
      <c r="E14" s="154"/>
      <c r="F14" s="117"/>
      <c r="G14" s="141" t="s">
        <v>153</v>
      </c>
      <c r="H14" s="138">
        <v>7</v>
      </c>
      <c r="I14" s="203">
        <f t="shared" si="0"/>
        <v>1.4</v>
      </c>
      <c r="J14" s="114"/>
      <c r="K14" s="150" t="inlineStr">
        <is>
          <t xml:space="preserve">North</t>
        </is>
      </c>
      <c r="L14" s="151" t="inlineStr">
        <is>
          <t xml:space="preserve">SR 1375 (Lake Wheeler Road)</t>
        </is>
      </c>
      <c r="M14" s="151">
        <v>45</v>
      </c>
      <c r="N14" s="151">
        <v>2025</v>
      </c>
      <c r="O14" s="657">
        <f>'Evaluation Set-up'!L26</f>
        <v>8900</v>
      </c>
      <c r="P14" s="152" t="b">
        <v>0</v>
      </c>
      <c r="Q14" s="205" t="str">
        <f t="shared" si="1"/>
        <v>North leg: SR 1375 (Lake Wheeler Road), 45 mph, 2025 AADT: 8900</v>
      </c>
      <c r="R14" s="115"/>
    </row>
    <row r="15" spans="2:18" ht="14.7" thickBot="1">
      <c r="B15" s="116"/>
      <c r="C15" s="128" t="s">
        <v>326</v>
      </c>
      <c r="D15" s="155" t="inlineStr">
        <is>
          <t xml:space="preserve">Intersection Realignment</t>
        </is>
      </c>
      <c r="E15" s="130"/>
      <c r="F15" s="117"/>
      <c r="G15" s="156" t="s">
        <v>27</v>
      </c>
      <c r="H15" s="157">
        <v>26</v>
      </c>
      <c r="I15" s="204">
        <f t="shared" si="0"/>
        <v>5.2</v>
      </c>
      <c r="J15" s="114"/>
      <c r="K15" s="158" t="inlineStr">
        <is>
          <t xml:space="preserve">South</t>
        </is>
      </c>
      <c r="L15" s="151" t="inlineStr">
        <is>
          <t xml:space="preserve">SR 1375 (Lake Wheeler Road)</t>
        </is>
      </c>
      <c r="M15" s="159">
        <v>45</v>
      </c>
      <c r="N15" s="159">
        <v>2025</v>
      </c>
      <c r="O15" s="658">
        <f>'Evaluation Set-up'!M26</f>
        <v>7400</v>
      </c>
      <c r="P15" s="160" t="b">
        <v>0</v>
      </c>
      <c r="Q15" s="206" t="str">
        <f>K15&amp;" leg: "&amp;L15&amp;", "&amp;M15&amp;" mph, "&amp;N15&amp;" AADT: "&amp;O15&amp;IF(P15," (est)","")</f>
        <v>South leg: SR 1375 (Lake Wheeler Road), 45 mph, 2025 AADT: 7400</v>
      </c>
      <c r="R15" s="115"/>
    </row>
    <row r="16" spans="2:18">
      <c r="B16" s="116"/>
      <c r="C16" s="128" t="s">
        <v>156</v>
      </c>
      <c r="D16" s="161">
        <v>665000</v>
      </c>
      <c r="E16" s="162"/>
      <c r="F16" s="117"/>
      <c r="G16" s="114"/>
      <c r="H16" s="114"/>
      <c r="I16" s="114"/>
      <c r="J16" s="114"/>
      <c r="K16" s="114"/>
      <c r="L16" s="114"/>
      <c r="M16" s="114"/>
      <c r="N16" s="114"/>
      <c r="O16" s="114"/>
      <c r="P16" s="114"/>
      <c r="Q16" s="114"/>
      <c r="R16" s="115"/>
    </row>
    <row r="17" spans="2:18" ht="14.7" thickBot="1">
      <c r="B17" s="116"/>
      <c r="C17" s="128" t="s">
        <v>158</v>
      </c>
      <c r="D17" s="163">
        <v>44379</v>
      </c>
      <c r="E17" s="164"/>
      <c r="F17" s="117"/>
      <c r="G17" s="139" t="s">
        <v>700</v>
      </c>
      <c r="H17" s="114"/>
      <c r="I17" s="114"/>
      <c r="J17" s="114"/>
      <c r="K17" s="114"/>
      <c r="L17" s="582" t="s">
        <v>727</v>
      </c>
      <c r="M17" s="583"/>
      <c r="N17" s="583"/>
      <c r="O17" s="583"/>
      <c r="P17" s="583"/>
      <c r="Q17" s="114"/>
      <c r="R17" s="115"/>
    </row>
    <row r="18" spans="2:18" thickBot="1" ht="108" customHeight="1">
      <c r="B18" s="116"/>
      <c r="C18" s="128" t="s">
        <v>329</v>
      </c>
      <c r="D18" s="165" t="inlineStr">
        <is>
          <t xml:space="preserve">Realignment and flashers: CON start 5/24/2021 and completion 7/2/2021 per the NCDOT tracking database (the HNTB compliance memo lists 7/2/2021 as both the begin and completion date), built under the R-2721A (Complete 540) contract; RTE notified 9/16/2021; HNTB compliance review 6/7/2024 (substantial compliance). The flashers were then replaced by traffic signal 05-1723 (plan sealed 2/25/2022). Imagery brackets the turn-on: Nearmap 5/30/2022 shows the span wire up but no stop bars on SR 1375, Street View June 2022 shows the heads bagged with the side-street stop signs still up, and Nearmap 10/21/2022 shows stop bars on both SR 1375 approaches (signal operating). Turn-on is taken as July 2022, so the construction period runs from 5/1/2021 through 7/31/2022.</t>
        </is>
      </c>
      <c r="E18" s="166"/>
      <c r="F18" s="117"/>
      <c r="G18" s="114"/>
      <c r="H18" s="114"/>
      <c r="I18" s="114"/>
      <c r="J18" s="114"/>
      <c r="K18" s="114"/>
      <c r="L18" s="584" t="s">
        <v>163</v>
      </c>
      <c r="M18" s="585" t="s">
        <v>142</v>
      </c>
      <c r="N18" s="586" t="s">
        <v>143</v>
      </c>
      <c r="O18" s="585" t="s">
        <v>166</v>
      </c>
      <c r="P18" s="586" t="s">
        <v>167</v>
      </c>
      <c r="Q18" s="114"/>
      <c r="R18" s="115"/>
    </row>
    <row r="19" spans="2:18">
      <c r="B19" s="116"/>
      <c r="C19" s="128" t="s">
        <v>328</v>
      </c>
      <c r="D19" s="129" t="inlineStr">
        <is>
          <t xml:space="preserve">150 (350 on N leg)</t>
        </is>
      </c>
      <c r="E19" s="130"/>
      <c r="F19" s="117"/>
      <c r="G19" s="114"/>
      <c r="H19" s="114"/>
      <c r="I19" s="114"/>
      <c r="J19" s="114"/>
      <c r="K19" s="114"/>
      <c r="L19" s="587" t="s">
        <v>112</v>
      </c>
      <c r="M19" s="578">
        <f>'Evaluation Set-up'!D9</f>
        <v>42826</v>
      </c>
      <c r="N19" s="579">
        <f>'Evaluation Set-up'!E9</f>
        <v>44316</v>
      </c>
      <c r="O19" s="580">
        <f>'Evaluation Set-up'!F9</f>
        <v>4</v>
      </c>
      <c r="P19" s="581">
        <f>'Evaluation Set-up'!G9</f>
        <v>1</v>
      </c>
      <c r="Q19" s="114"/>
      <c r="R19" s="115"/>
    </row>
    <row r="20" spans="2:18" ht="33" customHeight="1">
      <c r="B20" s="116"/>
      <c r="C20" s="128" t="s">
        <v>242</v>
      </c>
      <c r="D20" s="153" t="inlineStr">
        <is>
          <t xml:space="preserve">Frontal Impact Crashes in the Intersection (angle, left turn different roadways, right turn different roadways, left/right turn same roadway and head-on) within the Y-line</t>
        </is>
      </c>
      <c r="E20" s="154"/>
      <c r="F20" s="117"/>
      <c r="G20" s="114"/>
      <c r="H20" s="114"/>
      <c r="I20" s="114"/>
      <c r="J20" s="114"/>
      <c r="K20" s="114"/>
      <c r="L20" s="588" t="s">
        <v>144</v>
      </c>
      <c r="M20" s="183">
        <f>'Evaluation Set-up'!D10</f>
        <v>44317</v>
      </c>
      <c r="N20" s="577">
        <f>'Evaluation Set-up'!E10</f>
        <v>44773</v>
      </c>
      <c r="O20" s="189">
        <f>'Evaluation Set-up'!F10</f>
        <v>1</v>
      </c>
      <c r="P20" s="190">
        <f>'Evaluation Set-up'!G10</f>
        <v>3</v>
      </c>
      <c r="Q20" s="114"/>
      <c r="R20" s="115"/>
    </row>
    <row r="21" spans="2:18" ht="14.7" thickBot="1">
      <c r="B21" s="116"/>
      <c r="C21" s="128" t="s">
        <v>243</v>
      </c>
      <c r="D21" s="129" t="inlineStr">
        <is>
          <t xml:space="preserve">Rear End Crashes on SR 1375 (Lake Wheeler Road) approaching the intersection (both directions)</t>
        </is>
      </c>
      <c r="E21" s="130"/>
      <c r="F21" s="117"/>
      <c r="G21" s="114"/>
      <c r="H21" s="114"/>
      <c r="I21" s="114"/>
      <c r="J21" s="114"/>
      <c r="K21" s="114"/>
      <c r="L21" s="589" t="s">
        <v>113</v>
      </c>
      <c r="M21" s="184">
        <f>'Evaluation Set-up'!D11</f>
        <v>44774</v>
      </c>
      <c r="N21" s="186">
        <f>'Evaluation Set-up'!E11</f>
        <v>46265</v>
      </c>
      <c r="O21" s="191">
        <f>'Evaluation Set-up'!F11</f>
        <v>4</v>
      </c>
      <c r="P21" s="192">
        <f>'Evaluation Set-up'!G11</f>
        <v>1</v>
      </c>
      <c r="Q21" s="114"/>
      <c r="R21" s="115"/>
    </row>
    <row r="22" spans="2:18" ht="18.3">
      <c r="B22" s="167"/>
      <c r="C22" s="128" t="s">
        <v>309</v>
      </c>
      <c r="D22" s="129"/>
      <c r="E22" s="130"/>
      <c r="F22" s="117"/>
      <c r="G22" s="114"/>
      <c r="H22" s="114"/>
      <c r="I22" s="114"/>
      <c r="J22" s="114"/>
      <c r="K22" s="114"/>
      <c r="L22" s="114"/>
      <c r="M22" s="114"/>
      <c r="N22" s="114"/>
      <c r="O22" s="114"/>
      <c r="P22" s="114"/>
      <c r="Q22" s="114"/>
      <c r="R22" s="115"/>
    </row>
    <row r="23" spans="2:18" ht="33" customHeight="1">
      <c r="B23" s="168"/>
      <c r="C23" s="128" t="s">
        <v>325</v>
      </c>
      <c r="D23" s="165" t="inlineStr">
        <is>
          <t xml:space="preserve">Limited sight distance on SR 1375 (Lake Wheeler Road) and the offset condition of SR 1390 (Optimist Farm Road) with SR 1503 (Donnybrook Road) is contributing to angle and rear end type crashes (35 total crashes 1/1/2011-12/31/2015; 14 correctable).</t>
        </is>
      </c>
      <c r="E23" s="166"/>
      <c r="F23" s="117"/>
      <c r="G23" s="139"/>
      <c r="H23" s="114"/>
      <c r="I23" s="114"/>
      <c r="J23" s="114"/>
      <c r="K23" s="114"/>
      <c r="L23" s="114"/>
      <c r="M23" s="114"/>
      <c r="N23" s="114"/>
      <c r="O23" s="114"/>
      <c r="P23" s="114"/>
      <c r="Q23" s="114"/>
      <c r="R23" s="115"/>
    </row>
    <row r="24" spans="2:18" thickBot="1" ht="409" customHeight="1">
      <c r="B24" s="116"/>
      <c r="C24" s="169" t="s">
        <v>333</v>
      </c>
      <c r="D24" s="170" t="inlineStr">
        <is>
          <t xml:space="preserve">PROJECT / CONSTRUCTION: W-5601HP (05-08-203, WBS 50138.3.225, HSIP, B/C 3.43, evaluation order 41000076575) moved the SR 1390 (Optimist Farm Rd) approach about 200 ft south so it ties into SR 1375 directly across from SR 1503 (Donnybrook Rd) at MP 4.70, and added "Vehicle Entering When Flashing" flashers on both SR 1375 approaches. Built under the R-2721A (Complete 540) contract; the tracking database gives a 5/24/2021 start (also the let date) while the HNTB memo lists 7/2/2021 as both begin and completion; check dated aerials for earlier grading.
SIGNAL (CONFOUNDER): In 2022 a traffic signal (05-1723, 2-phase fully actuated; plan sealed 2/25/2022; not part of W-5601HP) replaced the flashers, and the VEWF signs and beacons came out. Imagery (see the completion-date notes) brackets the turn-on between late June and mid-October 2022; with the heads already bagged in June, turn-on is taken as July 2022, so the construction period is carried through 7/31/2022 and the after period (8/1/2022-8/31/2026, 4 yr 1 mo) represents the realigned, signalized intersection.
PRIOR PROJECT: W-5205W / 05-13-6035 (sight distance improvements here) was never evaluated because this project began in 2021. Nearmap imagery shows the wooded southwest quadrant of the old SR 1390 T-intersection cleared between 9/5/2016 and 2/19/2017, so that work was complete by February 2017. The before period therefore runs 4/1/2017-4/30/2021 as an equal 4 yr 1 mo period ('Evaluation Set-up' B14 unchecked), with the sight distance improvement in place throughout.
Y-LINE: 150 ft on the south, east and west legs, extended to 350 ft on the north leg (the southbound SR 1375 approach) so the former SR 1390 junction (MP 4.66, about 200 ft north) is covered with the usual 150 ft beyond it. Per the extended-Y-line guidance for realignments; the same leg limits apply in both periods. Pull the fiche wide (SR 1375 MP 4.55-4.85 plus SR 1390, SR 1503, SR 1392), bin by leg and distance in the Fiche Prep Tool, and edit the One Pager criteria sentence for the north-leg extension; curve-exit crashes farther up the north approach can go in the additional-information table.
OTHER CHANGES: Complete 540 (NC 540; built from 2019) opened 9/24/2024 and crosses SR 1375 about 0.3 mi north with no interchange there, changing travel patterns in the after period's last two years.</t>
        </is>
      </c>
      <c r="E24" s="171"/>
      <c r="F24" s="117"/>
      <c r="G24" s="114"/>
      <c r="H24" s="114"/>
      <c r="I24" s="114"/>
      <c r="J24" s="114"/>
      <c r="K24" s="114"/>
      <c r="L24" s="114"/>
      <c r="M24" s="114"/>
      <c r="N24" s="114"/>
      <c r="O24" s="114"/>
      <c r="P24" s="114"/>
      <c r="Q24" s="114"/>
      <c r="R24" s="115"/>
    </row>
    <row r="25" spans="2:18" ht="14.7" thickBot="1">
      <c r="B25" s="172"/>
      <c r="C25" s="173"/>
      <c r="D25" s="173"/>
      <c r="E25" s="173"/>
      <c r="F25" s="173"/>
      <c r="G25" s="174"/>
      <c r="H25" s="173"/>
      <c r="I25" s="173"/>
      <c r="J25" s="173"/>
      <c r="K25" s="173"/>
      <c r="L25" s="173"/>
      <c r="M25" s="173"/>
      <c r="N25" s="173"/>
      <c r="O25" s="173"/>
      <c r="P25" s="173"/>
      <c r="Q25" s="173"/>
      <c r="R25" s="175"/>
    </row>
    <row r="26" spans="2:18">
      <c r="G26" s="176"/>
    </row>
    <row r="27" spans="2:18">
      <c r="G27" s="176"/>
    </row>
    <row r="28" spans="2:18">
      <c r="G28" s="176"/>
    </row>
    <row r="29" spans="2:18">
      <c r="G29" s="176"/>
    </row>
    <row r="30" spans="2:18">
      <c r="G30" s="176"/>
    </row>
    <row r="31" spans="2:18">
      <c r="G31" s="176"/>
    </row>
    <row r="32" spans="2:18">
      <c r="G32" s="176"/>
    </row>
    <row r="33" spans="7:7">
      <c r="G33" s="176"/>
    </row>
  </sheetData>
  <sheetProtection formatCells="0" formatColumns="0" formatRows="0"/>
  <mergeCells count="6">
    <mergeCell ref="B2:R3"/>
    <mergeCell ref="K9:L9"/>
    <mergeCell ref="K5:L5"/>
    <mergeCell ref="K6:L6"/>
    <mergeCell ref="K7:L7"/>
    <mergeCell ref="K8:L8"/>
  </mergeCells>
  <pageMargins left="0.7" right="0.7" top="0.75" bottom="0.75" header="0.3" footer="0.3"/>
  <pageSetup orientation="landscape" r:id="rId1"/>
  <ignoredErrors>
    <ignoredError sqref="I10:I15" evalError="1"/>
  </ignoredErrors>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6B8FA5F1-7190-4940-A196-BD4420D7EA03}">
          <x14:formula1>
            <xm:f>'For NCDOT staff - for Tracking'!$G$40:$G$139</xm:f>
          </x14:formula1>
          <xm:sqref>D11</xm:sqref>
        </x14:dataValidation>
        <x14:dataValidation type="list" allowBlank="1" showInputMessage="1" showErrorMessage="1" xr:uid="{592958DB-BFB9-4BF5-893C-698F5735C6FA}">
          <x14:formula1>
            <xm:f>'For NCDOT staff - for Tracking'!$D$44:$D$60</xm:f>
          </x14:formula1>
          <xm:sqref>D15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33F836-9FCC-42D9-B7D4-F5AB57D0707A}">
  <sheetPr codeName="Sheet4"/>
  <dimension ref="B1:AH76"/>
  <sheetViews>
    <sheetView workbookViewId="0">
      <selection activeCell="D4" sqref="D4"/>
    </sheetView>
  </sheetViews>
  <sheetFormatPr defaultColWidth="9.15625" defaultRowHeight="14.4"/>
  <cols>
    <col min="1" max="1" width="2.7890625" style="98" customWidth="1"/>
    <col min="2" max="2" width="3.5234375" style="98" customWidth="1"/>
    <col min="3" max="3" width="29.15625" style="98" customWidth="1"/>
    <col min="4" max="5" width="14.47265625" style="207" customWidth="1"/>
    <col min="6" max="6" width="20.7890625" style="98" bestFit="1" customWidth="1"/>
    <col min="7" max="7" width="14.47265625" style="98" customWidth="1"/>
    <col min="8" max="10" width="2.7890625" style="98" customWidth="1"/>
    <col min="11" max="11" width="5" style="98" bestFit="1" customWidth="1"/>
    <col min="12" max="13" width="12.5234375" style="98" customWidth="1"/>
    <col min="14" max="14" width="13.734375" style="98" bestFit="1" customWidth="1"/>
    <col min="15" max="16" width="12.5234375" style="98" customWidth="1"/>
    <col min="17" max="17" width="13.734375" style="98" bestFit="1" customWidth="1"/>
    <col min="18" max="18" width="11.734375" style="98" bestFit="1" customWidth="1"/>
    <col min="19" max="19" width="2.7890625" style="98" customWidth="1"/>
    <col min="20" max="20" width="4.26171875" style="98" customWidth="1"/>
    <col min="21" max="21" width="56.5234375" style="98" customWidth="1"/>
    <col min="22" max="22" width="2.7890625" style="98" customWidth="1"/>
    <col min="23" max="24" width="9.15625" style="98"/>
    <col min="25" max="25" width="19.26171875" style="98" customWidth="1"/>
    <col min="26" max="26" width="11.15625" style="98" customWidth="1"/>
    <col min="27" max="27" width="42.15625" style="98" customWidth="1"/>
    <col min="28" max="31" width="9.15625" style="98"/>
    <col min="32" max="32" width="9.15625" style="98" hidden="1" customWidth="1"/>
    <col min="33" max="33" width="10.47265625" style="98" hidden="1" customWidth="1"/>
    <col min="34" max="34" width="29.47265625" style="98" hidden="1" customWidth="1"/>
    <col min="35" max="16384" width="9.15625" style="98"/>
  </cols>
  <sheetData>
    <row r="1" spans="2:34" ht="14.7" thickBot="1"/>
    <row r="2" spans="2:34" ht="30.9" thickBot="1">
      <c r="B2" s="698" t="s">
        <v>54</v>
      </c>
      <c r="C2" s="699"/>
      <c r="D2" s="699"/>
      <c r="E2" s="699"/>
      <c r="F2" s="699"/>
      <c r="G2" s="699"/>
      <c r="H2" s="700"/>
      <c r="J2" s="698" t="s">
        <v>55</v>
      </c>
      <c r="K2" s="699"/>
      <c r="L2" s="699"/>
      <c r="M2" s="699"/>
      <c r="N2" s="699"/>
      <c r="O2" s="699"/>
      <c r="P2" s="699"/>
      <c r="Q2" s="699"/>
      <c r="R2" s="699"/>
      <c r="S2" s="699"/>
      <c r="T2" s="699"/>
      <c r="U2" s="699"/>
      <c r="V2" s="700"/>
    </row>
    <row r="3" spans="2:34" ht="15" customHeight="1" thickBot="1">
      <c r="B3" s="208"/>
      <c r="C3" s="209"/>
      <c r="D3" s="210"/>
      <c r="E3" s="210"/>
      <c r="F3" s="209"/>
      <c r="G3" s="209"/>
      <c r="H3" s="211"/>
      <c r="J3" s="116"/>
      <c r="K3" s="114"/>
      <c r="L3" s="114"/>
      <c r="M3" s="114"/>
      <c r="N3" s="114"/>
      <c r="O3" s="114"/>
      <c r="P3" s="114"/>
      <c r="Q3" s="114"/>
      <c r="R3" s="114"/>
      <c r="S3" s="114"/>
      <c r="T3" s="114"/>
      <c r="U3" s="114"/>
      <c r="V3" s="115"/>
    </row>
    <row r="4" spans="2:34" ht="15" customHeight="1" thickBot="1">
      <c r="B4" s="116"/>
      <c r="C4" s="212" t="s">
        <v>46</v>
      </c>
      <c r="D4" s="213">
        <v>46265</v>
      </c>
      <c r="E4" s="114"/>
      <c r="F4" s="720" t="s">
        <v>42</v>
      </c>
      <c r="G4" s="721"/>
      <c r="H4" s="115"/>
      <c r="J4" s="116"/>
      <c r="K4" s="114"/>
      <c r="L4" s="722" t="s">
        <v>159</v>
      </c>
      <c r="M4" s="723"/>
      <c r="N4" s="724"/>
      <c r="O4" s="114"/>
      <c r="P4" s="717" t="s">
        <v>171</v>
      </c>
      <c r="Q4" s="718"/>
      <c r="R4" s="719"/>
      <c r="S4" s="114"/>
      <c r="T4" s="214" t="s">
        <v>123</v>
      </c>
      <c r="U4" s="114"/>
      <c r="V4" s="115"/>
    </row>
    <row r="5" spans="2:34" ht="15" customHeight="1" thickBot="1">
      <c r="B5" s="116"/>
      <c r="C5" s="725" t="s">
        <v>162</v>
      </c>
      <c r="D5" s="696">
        <v>15</v>
      </c>
      <c r="E5" s="114"/>
      <c r="F5" s="690" t="s">
        <v>164</v>
      </c>
      <c r="G5" s="691"/>
      <c r="H5" s="115"/>
      <c r="J5" s="116"/>
      <c r="K5" s="114"/>
      <c r="L5" s="215" t="s">
        <v>160</v>
      </c>
      <c r="M5" s="216"/>
      <c r="N5" s="217">
        <v>2021</v>
      </c>
      <c r="O5" s="114"/>
      <c r="P5" s="713" t="s">
        <v>172</v>
      </c>
      <c r="Q5" s="714"/>
      <c r="R5" s="180">
        <f>IFERROR(ROUND(VLOOKUP($N$5, $K$11:$R$35, 8, FALSE), -2), "Select Year")</f>
        <v>11700</v>
      </c>
      <c r="S5" s="114"/>
      <c r="T5" s="218" t="s">
        <v>45</v>
      </c>
      <c r="U5" s="727" t="s">
        <v>176</v>
      </c>
      <c r="V5" s="115"/>
      <c r="AF5" s="728" t="s">
        <v>43</v>
      </c>
      <c r="AG5" s="729"/>
      <c r="AH5" s="730"/>
    </row>
    <row r="6" spans="2:34" ht="15" customHeight="1" thickTop="1" thickBot="1">
      <c r="B6" s="116"/>
      <c r="C6" s="726"/>
      <c r="D6" s="697"/>
      <c r="E6" s="114"/>
      <c r="F6" s="733" t="s">
        <v>165</v>
      </c>
      <c r="G6" s="734"/>
      <c r="H6" s="115"/>
      <c r="J6" s="116"/>
      <c r="K6" s="114"/>
      <c r="L6" s="219" t="s">
        <v>161</v>
      </c>
      <c r="M6" s="220"/>
      <c r="N6" s="221">
        <v>2025</v>
      </c>
      <c r="O6" s="114"/>
      <c r="P6" s="715" t="s">
        <v>173</v>
      </c>
      <c r="Q6" s="716"/>
      <c r="R6" s="181">
        <f>IFERROR(ROUND(VLOOKUP($N$6, $K$11:$R$35, 8, FALSE), -2), "Select Year")</f>
        <v>11800</v>
      </c>
      <c r="S6" s="114"/>
      <c r="T6" s="114"/>
      <c r="U6" s="727"/>
      <c r="V6" s="115"/>
      <c r="AF6" s="253"/>
      <c r="AG6" s="254"/>
      <c r="AH6" s="255"/>
    </row>
    <row r="7" spans="2:34" s="97" customFormat="1" ht="15" customHeight="1" thickBot="1">
      <c r="B7" s="116"/>
      <c r="C7" s="114"/>
      <c r="D7" s="117"/>
      <c r="E7" s="117"/>
      <c r="F7" s="114"/>
      <c r="G7" s="114"/>
      <c r="H7" s="115"/>
      <c r="J7" s="116"/>
      <c r="K7" s="114"/>
      <c r="L7" s="114"/>
      <c r="M7" s="114"/>
      <c r="N7" s="114"/>
      <c r="O7" s="114"/>
      <c r="P7" s="114"/>
      <c r="Q7" s="114"/>
      <c r="R7" s="114"/>
      <c r="S7" s="114"/>
      <c r="T7" s="222"/>
      <c r="U7" s="727"/>
      <c r="V7" s="115"/>
      <c r="W7" s="98"/>
      <c r="X7" s="98"/>
      <c r="Y7" s="98"/>
      <c r="Z7" s="98"/>
      <c r="AA7" s="98"/>
      <c r="AF7" s="256"/>
      <c r="AG7" s="257"/>
      <c r="AH7" s="258" t="s">
        <v>44</v>
      </c>
    </row>
    <row r="8" spans="2:34" ht="15" customHeight="1" thickBot="1">
      <c r="B8" s="223"/>
      <c r="C8" s="224" t="s">
        <v>163</v>
      </c>
      <c r="D8" s="225" t="s">
        <v>142</v>
      </c>
      <c r="E8" s="226" t="s">
        <v>143</v>
      </c>
      <c r="F8" s="225" t="s">
        <v>166</v>
      </c>
      <c r="G8" s="226" t="s">
        <v>167</v>
      </c>
      <c r="H8" s="227"/>
      <c r="I8" s="228"/>
      <c r="J8" s="116"/>
      <c r="K8" s="702" t="s">
        <v>124</v>
      </c>
      <c r="L8" s="703"/>
      <c r="M8" s="703"/>
      <c r="N8" s="703"/>
      <c r="O8" s="703"/>
      <c r="P8" s="703"/>
      <c r="Q8" s="703"/>
      <c r="R8" s="704"/>
      <c r="S8" s="114"/>
      <c r="T8" s="218" t="s">
        <v>45</v>
      </c>
      <c r="U8" s="727" t="s">
        <v>126</v>
      </c>
      <c r="V8" s="115"/>
      <c r="AF8" s="259">
        <f>YEAR(E9)</f>
        <v>2021</v>
      </c>
      <c r="AG8">
        <f>MONTH(E9)</f>
        <v>4</v>
      </c>
      <c r="AH8" s="260">
        <f>(YEAR(D10)-YEAR(D9))*12+MONTH(D10)-MONTH(D9)</f>
        <v>49</v>
      </c>
    </row>
    <row r="9" spans="2:34" ht="15" customHeight="1">
      <c r="B9" s="116"/>
      <c r="C9" s="229" t="s">
        <v>112</v>
      </c>
      <c r="D9" s="182">
        <f>IF(B14,D14,DATE(AF8-F11,AG8-G11+1,1))</f>
        <v>42826</v>
      </c>
      <c r="E9" s="185">
        <f>D10-1</f>
        <v>44316</v>
      </c>
      <c r="F9" s="187">
        <f>ROUNDDOWN(AH8/12,0)</f>
        <v>4</v>
      </c>
      <c r="G9" s="188">
        <f>AH8-12*F9</f>
        <v>1</v>
      </c>
      <c r="H9" s="115"/>
      <c r="J9" s="116"/>
      <c r="K9" s="705" t="s">
        <v>31</v>
      </c>
      <c r="L9" s="707" t="s">
        <v>32</v>
      </c>
      <c r="M9" s="709" t="s">
        <v>33</v>
      </c>
      <c r="N9" s="711" t="s">
        <v>34</v>
      </c>
      <c r="O9" s="707" t="s">
        <v>36</v>
      </c>
      <c r="P9" s="709" t="s">
        <v>37</v>
      </c>
      <c r="Q9" s="711" t="s">
        <v>35</v>
      </c>
      <c r="R9" s="731" t="s">
        <v>41</v>
      </c>
      <c r="S9" s="114"/>
      <c r="T9" s="114"/>
      <c r="U9" s="727"/>
      <c r="V9" s="115"/>
      <c r="AF9" s="259">
        <f>YEAR(E10)</f>
        <v>2022</v>
      </c>
      <c r="AG9">
        <f>MONTH(E10)</f>
        <v>7</v>
      </c>
      <c r="AH9" s="261">
        <f>(YEAR(D11)-YEAR(D10))*12+MONTH(D11)-MONTH(D10)</f>
        <v>15</v>
      </c>
    </row>
    <row r="10" spans="2:34" ht="15" customHeight="1" thickBot="1">
      <c r="B10" s="116"/>
      <c r="C10" s="231" t="s">
        <v>144</v>
      </c>
      <c r="D10" s="183">
        <f>DATE(AF9,AG9-(D5-1),1)</f>
        <v>44317</v>
      </c>
      <c r="E10" s="232">
        <v>44773</v>
      </c>
      <c r="F10" s="189">
        <f>ROUNDDOWN(AH9/12,0)</f>
        <v>1</v>
      </c>
      <c r="G10" s="190">
        <f>AH9-12*F10</f>
        <v>3</v>
      </c>
      <c r="H10" s="115"/>
      <c r="J10" s="116"/>
      <c r="K10" s="706"/>
      <c r="L10" s="708"/>
      <c r="M10" s="710"/>
      <c r="N10" s="712"/>
      <c r="O10" s="708"/>
      <c r="P10" s="710"/>
      <c r="Q10" s="712"/>
      <c r="R10" s="732"/>
      <c r="S10" s="114"/>
      <c r="T10" s="218" t="s">
        <v>45</v>
      </c>
      <c r="U10" s="727" t="s">
        <v>127</v>
      </c>
      <c r="V10" s="115"/>
      <c r="AF10" s="262"/>
      <c r="AG10" s="263">
        <f>E11+1</f>
        <v>46266</v>
      </c>
      <c r="AH10" s="264">
        <f>(YEAR(AG10)-YEAR(D11))*12+MONTH(AG10)-MONTH(D11)</f>
        <v>49</v>
      </c>
    </row>
    <row r="11" spans="2:34" ht="15" customHeight="1" thickBot="1">
      <c r="B11" s="116"/>
      <c r="C11" s="233" t="s">
        <v>113</v>
      </c>
      <c r="D11" s="184">
        <f>E10+1</f>
        <v>44774</v>
      </c>
      <c r="E11" s="186">
        <f>D4</f>
        <v>46265</v>
      </c>
      <c r="F11" s="191">
        <f>ROUNDDOWN(AH10/12,0)</f>
        <v>4</v>
      </c>
      <c r="G11" s="192">
        <f>AH10-12*F11</f>
        <v>1</v>
      </c>
      <c r="H11" s="115"/>
      <c r="J11" s="116"/>
      <c r="K11" s="234">
        <v>2010</v>
      </c>
      <c r="L11" s="556"/>
      <c r="M11" s="557"/>
      <c r="N11" s="178" t="str">
        <f t="shared" ref="N11:N35" si="0">IF(COUNT(L11:M11) = 0, "",L11/2+M11/2)</f>
        <v/>
      </c>
      <c r="O11" s="565"/>
      <c r="P11" s="557"/>
      <c r="Q11" s="178" t="str">
        <f t="shared" ref="Q11:Q27" si="1">IF(COUNT(O11:P11) = 0, "",O11/2+P11/2)</f>
        <v/>
      </c>
      <c r="R11" s="250" t="str">
        <f t="shared" ref="R11" si="2">IF(COUNT(L11:M11) = 0, "",N11+Q11)</f>
        <v/>
      </c>
      <c r="S11" s="114"/>
      <c r="T11" s="114"/>
      <c r="U11" s="727"/>
      <c r="V11" s="227"/>
      <c r="AB11" s="235"/>
    </row>
    <row r="12" spans="2:34" ht="15" customHeight="1">
      <c r="B12" s="116"/>
      <c r="C12" s="114"/>
      <c r="D12" s="236"/>
      <c r="E12" s="236"/>
      <c r="F12" s="117"/>
      <c r="G12" s="117"/>
      <c r="H12" s="115"/>
      <c r="J12" s="116"/>
      <c r="K12" s="237">
        <v>2011</v>
      </c>
      <c r="L12" s="558"/>
      <c r="M12" s="559"/>
      <c r="N12" s="177" t="str">
        <f t="shared" si="0"/>
        <v/>
      </c>
      <c r="O12" s="558"/>
      <c r="P12" s="560"/>
      <c r="Q12" s="177" t="str">
        <f t="shared" si="1"/>
        <v/>
      </c>
      <c r="R12" s="251" t="str">
        <f>IF(COUNT(L12:M12) = 0, "",N12+Q12)</f>
        <v/>
      </c>
      <c r="S12" s="114"/>
      <c r="T12" s="218" t="s">
        <v>45</v>
      </c>
      <c r="U12" s="727" t="s">
        <v>125</v>
      </c>
      <c r="V12" s="227"/>
      <c r="W12" s="176"/>
    </row>
    <row r="13" spans="2:34" ht="15" customHeight="1" thickBot="1">
      <c r="B13" s="116"/>
      <c r="C13" s="114"/>
      <c r="D13" s="238"/>
      <c r="E13" s="238"/>
      <c r="F13" s="114"/>
      <c r="G13" s="114"/>
      <c r="H13" s="115"/>
      <c r="J13" s="116"/>
      <c r="K13" s="237">
        <v>2012</v>
      </c>
      <c r="L13" s="558"/>
      <c r="M13" s="559"/>
      <c r="N13" s="177" t="str">
        <f t="shared" si="0"/>
        <v/>
      </c>
      <c r="O13" s="558"/>
      <c r="P13" s="560"/>
      <c r="Q13" s="177" t="str">
        <f t="shared" si="1"/>
        <v/>
      </c>
      <c r="R13" s="251" t="str">
        <f t="shared" ref="R13:R22" si="3">IF(COUNT(L13:M13) = 0, "",N13+Q13)</f>
        <v/>
      </c>
      <c r="S13" s="114"/>
      <c r="T13" s="114"/>
      <c r="U13" s="727"/>
      <c r="V13" s="115"/>
      <c r="W13" s="176"/>
    </row>
    <row r="14" spans="2:34" ht="15" customHeight="1" thickBot="1">
      <c r="B14" s="239" t="b">
        <v>0</v>
      </c>
      <c r="C14" s="240" t="s">
        <v>445</v>
      </c>
      <c r="D14" s="241">
        <v>42826</v>
      </c>
      <c r="E14" s="238"/>
      <c r="F14" s="114"/>
      <c r="G14" s="114"/>
      <c r="H14" s="115"/>
      <c r="J14" s="116"/>
      <c r="K14" s="237">
        <v>2013</v>
      </c>
      <c r="L14" s="558"/>
      <c r="M14" s="559"/>
      <c r="N14" s="177" t="str">
        <f t="shared" si="0"/>
        <v/>
      </c>
      <c r="O14" s="558"/>
      <c r="P14" s="560"/>
      <c r="Q14" s="177" t="str">
        <f t="shared" si="1"/>
        <v/>
      </c>
      <c r="R14" s="251" t="str">
        <f t="shared" si="3"/>
        <v/>
      </c>
      <c r="S14" s="114"/>
      <c r="T14" s="114"/>
      <c r="U14" s="727"/>
      <c r="V14" s="115"/>
    </row>
    <row r="15" spans="2:34" ht="15" customHeight="1">
      <c r="B15" s="116"/>
      <c r="C15" s="114"/>
      <c r="D15" s="236"/>
      <c r="E15" s="236"/>
      <c r="F15" s="114"/>
      <c r="G15" s="114"/>
      <c r="H15" s="115"/>
      <c r="J15" s="116"/>
      <c r="K15" s="237">
        <v>2014</v>
      </c>
      <c r="L15" s="558"/>
      <c r="M15" s="559"/>
      <c r="N15" s="177" t="str">
        <f t="shared" si="0"/>
        <v/>
      </c>
      <c r="O15" s="558"/>
      <c r="P15" s="560"/>
      <c r="Q15" s="177" t="str">
        <f t="shared" si="1"/>
        <v/>
      </c>
      <c r="R15" s="251" t="str">
        <f t="shared" si="3"/>
        <v/>
      </c>
      <c r="S15" s="114"/>
      <c r="T15" s="218" t="s">
        <v>45</v>
      </c>
      <c r="U15" s="727" t="s">
        <v>128</v>
      </c>
      <c r="V15" s="115"/>
    </row>
    <row r="16" spans="2:34" ht="15" customHeight="1">
      <c r="B16" s="167" t="s">
        <v>106</v>
      </c>
      <c r="C16" s="114"/>
      <c r="D16" s="117"/>
      <c r="E16" s="117"/>
      <c r="F16" s="114"/>
      <c r="G16" s="114"/>
      <c r="H16" s="115"/>
      <c r="J16" s="116"/>
      <c r="K16" s="237">
        <v>2015</v>
      </c>
      <c r="L16" s="558"/>
      <c r="M16" s="559"/>
      <c r="N16" s="177" t="str">
        <f t="shared" si="0"/>
        <v/>
      </c>
      <c r="O16" s="558"/>
      <c r="P16" s="560"/>
      <c r="Q16" s="177" t="str">
        <f t="shared" si="1"/>
        <v/>
      </c>
      <c r="R16" s="251" t="str">
        <f t="shared" si="3"/>
        <v/>
      </c>
      <c r="S16" s="114"/>
      <c r="T16" s="114"/>
      <c r="U16" s="727"/>
      <c r="V16" s="115"/>
    </row>
    <row r="17" spans="2:22" ht="15" customHeight="1">
      <c r="B17" s="242" t="s">
        <v>45</v>
      </c>
      <c r="C17" s="701" t="s">
        <v>169</v>
      </c>
      <c r="D17" s="701"/>
      <c r="E17" s="701"/>
      <c r="F17" s="701"/>
      <c r="G17" s="701"/>
      <c r="H17" s="115"/>
      <c r="J17" s="116"/>
      <c r="K17" s="237">
        <v>2016</v>
      </c>
      <c r="L17" s="602"/>
      <c r="M17" s="601"/>
      <c r="N17" s="177" t="str">
        <f t="shared" si="0"/>
        <v/>
      </c>
      <c r="O17" s="600"/>
      <c r="P17" s="559"/>
      <c r="Q17" s="177" t="str">
        <f t="shared" si="1"/>
        <v/>
      </c>
      <c r="R17" s="251" t="str">
        <f t="shared" si="3"/>
        <v/>
      </c>
      <c r="S17" s="114"/>
      <c r="T17" s="114"/>
      <c r="U17" s="727"/>
      <c r="V17" s="243"/>
    </row>
    <row r="18" spans="2:22" ht="15" customHeight="1">
      <c r="B18" s="116"/>
      <c r="C18" s="701"/>
      <c r="D18" s="701"/>
      <c r="E18" s="701"/>
      <c r="F18" s="701"/>
      <c r="G18" s="701"/>
      <c r="H18" s="115"/>
      <c r="J18" s="116"/>
      <c r="K18" s="237">
        <v>2017</v>
      </c>
      <c r="L18" s="653">
        <f>L62</f>
        <v>7300</v>
      </c>
      <c r="M18" s="654">
        <f>M62</f>
        <v>5100</v>
      </c>
      <c r="N18" s="177">
        <f t="shared" si="0"/>
        <v>6200</v>
      </c>
      <c r="O18" s="655">
        <f>O62</f>
        <v>5400</v>
      </c>
      <c r="P18" s="654">
        <f>P62</f>
        <v>3600</v>
      </c>
      <c r="Q18" s="177">
        <f t="shared" si="1"/>
        <v>4500</v>
      </c>
      <c r="R18" s="251">
        <f t="shared" si="3"/>
        <v>10700</v>
      </c>
      <c r="S18" s="114"/>
      <c r="T18" s="218" t="s">
        <v>45</v>
      </c>
      <c r="U18" s="114" t="s">
        <v>177</v>
      </c>
      <c r="V18" s="243"/>
    </row>
    <row r="19" spans="2:22" ht="15" customHeight="1">
      <c r="B19" s="242" t="s">
        <v>45</v>
      </c>
      <c r="C19" s="701" t="s">
        <v>170</v>
      </c>
      <c r="D19" s="701"/>
      <c r="E19" s="701"/>
      <c r="F19" s="701"/>
      <c r="G19" s="701"/>
      <c r="H19" s="115"/>
      <c r="J19" s="116"/>
      <c r="K19" s="237">
        <v>2018</v>
      </c>
      <c r="L19" s="602">
        <f>ROUND(AVERAGE(L18,L20),-2)</f>
        <v>7800</v>
      </c>
      <c r="M19" s="601">
        <f>ROUND(AVERAGE(M18,M20),-2)</f>
        <v>5600</v>
      </c>
      <c r="N19" s="177">
        <f t="shared" si="0"/>
        <v>6700</v>
      </c>
      <c r="O19" s="600">
        <f>ROUND(AVERAGE(O18,O20),-2)</f>
        <v>5500</v>
      </c>
      <c r="P19" s="601">
        <f>ROUND(AVERAGE(P18,P20),-2)</f>
        <v>3700</v>
      </c>
      <c r="Q19" s="177">
        <f t="shared" si="1"/>
        <v>4600</v>
      </c>
      <c r="R19" s="251">
        <f t="shared" si="3"/>
        <v>11300</v>
      </c>
      <c r="S19" s="114"/>
      <c r="T19" s="218" t="s">
        <v>45</v>
      </c>
      <c r="U19" s="701" t="s">
        <v>178</v>
      </c>
      <c r="V19" s="115"/>
    </row>
    <row r="20" spans="2:22" ht="15" customHeight="1">
      <c r="B20" s="116"/>
      <c r="C20" s="701"/>
      <c r="D20" s="701"/>
      <c r="E20" s="701"/>
      <c r="F20" s="701"/>
      <c r="G20" s="701"/>
      <c r="H20" s="115"/>
      <c r="J20" s="116"/>
      <c r="K20" s="237">
        <v>2019</v>
      </c>
      <c r="L20" s="653">
        <f>L64</f>
        <v>8200</v>
      </c>
      <c r="M20" s="654">
        <f>M64</f>
        <v>6100</v>
      </c>
      <c r="N20" s="177">
        <f t="shared" si="0"/>
        <v>7150</v>
      </c>
      <c r="O20" s="655">
        <f>O64</f>
        <v>5500</v>
      </c>
      <c r="P20" s="654">
        <f>P64</f>
        <v>3700</v>
      </c>
      <c r="Q20" s="177">
        <f t="shared" si="1"/>
        <v>4600</v>
      </c>
      <c r="R20" s="251">
        <f t="shared" si="3"/>
        <v>11750</v>
      </c>
      <c r="S20" s="114"/>
      <c r="T20" s="114"/>
      <c r="U20" s="701"/>
      <c r="V20" s="115"/>
    </row>
    <row r="21" spans="2:22" ht="15" customHeight="1">
      <c r="B21" s="242" t="s">
        <v>45</v>
      </c>
      <c r="C21" s="701" t="s">
        <v>168</v>
      </c>
      <c r="D21" s="701"/>
      <c r="E21" s="701"/>
      <c r="F21" s="701"/>
      <c r="G21" s="701"/>
      <c r="H21" s="115"/>
      <c r="J21" s="116"/>
      <c r="K21" s="237">
        <v>2020</v>
      </c>
      <c r="L21" s="602">
        <f>ROUND(AVERAGE(L20,L22)*0.85,-2)</f>
        <v>7100</v>
      </c>
      <c r="M21" s="601">
        <f>ROUND(AVERAGE(M20,M22)*0.85,-2)</f>
        <v>5200</v>
      </c>
      <c r="N21" s="177">
        <f t="shared" si="0"/>
        <v>6150</v>
      </c>
      <c r="O21" s="600">
        <f>ROUND(AVERAGE(O20,O22)*0.85,-2)</f>
        <v>4700</v>
      </c>
      <c r="P21" s="601">
        <f>ROUND(AVERAGE(P20,P22)*0.85,-2)</f>
        <v>3000</v>
      </c>
      <c r="Q21" s="177">
        <f t="shared" si="1"/>
        <v>3850</v>
      </c>
      <c r="R21" s="251">
        <f t="shared" si="3"/>
        <v>10000</v>
      </c>
      <c r="S21" s="114"/>
      <c r="T21" s="114"/>
      <c r="U21" s="701"/>
      <c r="V21" s="115"/>
    </row>
    <row r="22" spans="2:22" ht="15" customHeight="1">
      <c r="B22" s="242"/>
      <c r="C22" s="701"/>
      <c r="D22" s="701"/>
      <c r="E22" s="701"/>
      <c r="F22" s="701"/>
      <c r="G22" s="701"/>
      <c r="H22" s="115"/>
      <c r="J22" s="116"/>
      <c r="K22" s="237">
        <v>2021</v>
      </c>
      <c r="L22" s="653">
        <f>L66</f>
        <v>8400</v>
      </c>
      <c r="M22" s="654">
        <f>M66</f>
        <v>6100</v>
      </c>
      <c r="N22" s="177">
        <f t="shared" si="0"/>
        <v>7250</v>
      </c>
      <c r="O22" s="655">
        <f>O66</f>
        <v>5600</v>
      </c>
      <c r="P22" s="654">
        <f>P66</f>
        <v>3300</v>
      </c>
      <c r="Q22" s="177">
        <f t="shared" si="1"/>
        <v>4450</v>
      </c>
      <c r="R22" s="251">
        <f t="shared" si="3"/>
        <v>11700</v>
      </c>
      <c r="S22" s="114"/>
      <c r="T22" s="218" t="s">
        <v>45</v>
      </c>
      <c r="U22" s="727" t="s">
        <v>179</v>
      </c>
      <c r="V22" s="115"/>
    </row>
    <row r="23" spans="2:22" ht="15" customHeight="1">
      <c r="B23" s="242" t="s">
        <v>45</v>
      </c>
      <c r="C23" s="701" t="s">
        <v>701</v>
      </c>
      <c r="D23" s="701"/>
      <c r="E23" s="701"/>
      <c r="F23" s="701"/>
      <c r="G23" s="701"/>
      <c r="H23" s="115"/>
      <c r="J23" s="116"/>
      <c r="K23" s="237">
        <v>2022</v>
      </c>
      <c r="L23" s="602">
        <f>ROUND(AVERAGE(L22,L24),-2)</f>
        <v>8100</v>
      </c>
      <c r="M23" s="601">
        <f>ROUND(AVERAGE(M22,M24),-2)</f>
        <v>6100</v>
      </c>
      <c r="N23" s="177">
        <f t="shared" si="0"/>
        <v>7100</v>
      </c>
      <c r="O23" s="600">
        <f>ROUND(AVERAGE(O22,O24),-2)</f>
        <v>5200</v>
      </c>
      <c r="P23" s="601">
        <f>ROUND(AVERAGE(P22,P24),-2)</f>
        <v>2700</v>
      </c>
      <c r="Q23" s="177">
        <f t="shared" si="1"/>
        <v>3950</v>
      </c>
      <c r="R23" s="251">
        <f t="shared" ref="R23:R27" si="5">IF(COUNT(L23:M23) = 0, "",N23+Q23)</f>
        <v>11050</v>
      </c>
      <c r="S23" s="114"/>
      <c r="T23" s="114"/>
      <c r="U23" s="727"/>
      <c r="V23" s="115"/>
    </row>
    <row r="24" spans="2:22" ht="15" customHeight="1">
      <c r="B24" s="116"/>
      <c r="C24" s="701"/>
      <c r="D24" s="701"/>
      <c r="E24" s="701"/>
      <c r="F24" s="701"/>
      <c r="G24" s="701"/>
      <c r="H24" s="115"/>
      <c r="J24" s="116"/>
      <c r="K24" s="237">
        <v>2023</v>
      </c>
      <c r="L24" s="653">
        <f>L68</f>
        <v>7800</v>
      </c>
      <c r="M24" s="654">
        <f>M68</f>
        <v>6000</v>
      </c>
      <c r="N24" s="177">
        <f t="shared" si="0"/>
        <v>6900</v>
      </c>
      <c r="O24" s="655">
        <f>O68</f>
        <v>4800</v>
      </c>
      <c r="P24" s="654">
        <f>P68</f>
        <v>2000</v>
      </c>
      <c r="Q24" s="177">
        <f t="shared" si="1"/>
        <v>3400</v>
      </c>
      <c r="R24" s="251">
        <f t="shared" si="5"/>
        <v>10300</v>
      </c>
      <c r="S24" s="114"/>
      <c r="T24" s="114"/>
      <c r="U24" s="727"/>
      <c r="V24" s="115"/>
    </row>
    <row r="25" spans="2:22" ht="14.7" thickBot="1">
      <c r="B25" s="172"/>
      <c r="C25" s="173"/>
      <c r="D25" s="244"/>
      <c r="E25" s="244"/>
      <c r="F25" s="173"/>
      <c r="G25" s="173"/>
      <c r="H25" s="175"/>
      <c r="J25" s="116"/>
      <c r="K25" s="237">
        <v>2024</v>
      </c>
      <c r="L25" s="602">
        <f>ROUND(AVERAGE(L24,L26),-2)</f>
        <v>8400</v>
      </c>
      <c r="M25" s="601">
        <f>ROUND(AVERAGE(M24,M26),-2)</f>
        <v>6700</v>
      </c>
      <c r="N25" s="177">
        <f t="shared" si="0"/>
        <v>7550</v>
      </c>
      <c r="O25" s="600">
        <f>ROUND(AVERAGE(O24,O26),-2)</f>
        <v>4800</v>
      </c>
      <c r="P25" s="601">
        <f>ROUND(AVERAGE(P24,P26),-2)</f>
        <v>2200</v>
      </c>
      <c r="Q25" s="177">
        <f t="shared" si="1"/>
        <v>3500</v>
      </c>
      <c r="R25" s="251">
        <f t="shared" si="5"/>
        <v>11050</v>
      </c>
      <c r="S25" s="114"/>
      <c r="T25" s="114"/>
      <c r="U25" s="727"/>
      <c r="V25" s="115"/>
    </row>
    <row r="26" spans="2:22" ht="15" customHeight="1">
      <c r="J26" s="116"/>
      <c r="K26" s="237">
        <v>2025</v>
      </c>
      <c r="L26" s="653">
        <f>L70</f>
        <v>8900</v>
      </c>
      <c r="M26" s="654">
        <f>M70</f>
        <v>7400</v>
      </c>
      <c r="N26" s="177">
        <f t="shared" si="0"/>
        <v>8150</v>
      </c>
      <c r="O26" s="655">
        <f>O70</f>
        <v>4800</v>
      </c>
      <c r="P26" s="654">
        <f>P70</f>
        <v>2400</v>
      </c>
      <c r="Q26" s="177">
        <f t="shared" si="1"/>
        <v>3600</v>
      </c>
      <c r="R26" s="251">
        <f t="shared" si="5"/>
        <v>11750</v>
      </c>
      <c r="S26" s="114"/>
      <c r="T26" s="114"/>
      <c r="U26" s="727"/>
      <c r="V26" s="115"/>
    </row>
    <row r="27" spans="2:22" ht="15" customHeight="1">
      <c r="J27" s="116"/>
      <c r="K27" s="237">
        <v>2026</v>
      </c>
      <c r="L27" s="602">
        <f>L26</f>
        <v>8900</v>
      </c>
      <c r="M27" s="601">
        <f>M26</f>
        <v>7400</v>
      </c>
      <c r="N27" s="177">
        <f t="shared" si="0"/>
        <v>8150</v>
      </c>
      <c r="O27" s="600">
        <f>O26</f>
        <v>4800</v>
      </c>
      <c r="P27" s="601">
        <f>P26</f>
        <v>2400</v>
      </c>
      <c r="Q27" s="177">
        <f t="shared" si="1"/>
        <v>3600</v>
      </c>
      <c r="R27" s="251">
        <f t="shared" si="5"/>
        <v>11750</v>
      </c>
      <c r="S27" s="114"/>
      <c r="T27" s="114"/>
      <c r="U27" s="727"/>
      <c r="V27" s="115"/>
    </row>
    <row r="28" spans="2:22" ht="15" customHeight="1">
      <c r="F28" s="235"/>
      <c r="J28" s="116"/>
      <c r="K28" s="237">
        <v>2027</v>
      </c>
      <c r="L28" s="560"/>
      <c r="M28" s="559"/>
      <c r="N28" s="177" t="str">
        <f t="shared" si="0"/>
        <v/>
      </c>
      <c r="O28" s="655"/>
      <c r="P28" s="654"/>
      <c r="Q28" s="177" t="str">
        <f t="shared" ref="Q28:Q35" si="6">IF(COUNT(O28:P28) = 0, "",O28/2+P28/2)</f>
        <v/>
      </c>
      <c r="R28" s="251" t="str">
        <f t="shared" ref="R28:R35" si="7">IF(COUNT(L28:M28) = 0, "",N28+Q28)</f>
        <v/>
      </c>
      <c r="S28" s="114"/>
      <c r="T28" s="245" t="s">
        <v>45</v>
      </c>
      <c r="U28" s="246" t="s">
        <v>180</v>
      </c>
      <c r="V28" s="115"/>
    </row>
    <row r="29" spans="2:22" ht="15" customHeight="1">
      <c r="J29" s="116"/>
      <c r="K29" s="237">
        <v>2028</v>
      </c>
      <c r="L29" s="560"/>
      <c r="M29" s="559"/>
      <c r="N29" s="177" t="str">
        <f t="shared" si="0"/>
        <v/>
      </c>
      <c r="O29" s="558"/>
      <c r="P29" s="559"/>
      <c r="Q29" s="177" t="str">
        <f t="shared" si="6"/>
        <v/>
      </c>
      <c r="R29" s="251" t="str">
        <f t="shared" si="7"/>
        <v/>
      </c>
      <c r="S29" s="114"/>
      <c r="T29" s="247"/>
      <c r="U29" s="246"/>
      <c r="V29" s="115"/>
    </row>
    <row r="30" spans="2:22" ht="15" customHeight="1">
      <c r="J30" s="116"/>
      <c r="K30" s="237">
        <v>2029</v>
      </c>
      <c r="L30" s="560"/>
      <c r="M30" s="559"/>
      <c r="N30" s="177" t="str">
        <f t="shared" si="0"/>
        <v/>
      </c>
      <c r="O30" s="558"/>
      <c r="P30" s="559"/>
      <c r="Q30" s="177" t="str">
        <f t="shared" si="6"/>
        <v/>
      </c>
      <c r="R30" s="251" t="str">
        <f t="shared" si="7"/>
        <v/>
      </c>
      <c r="S30" s="114"/>
      <c r="T30" s="247"/>
      <c r="U30" s="246"/>
      <c r="V30" s="115"/>
    </row>
    <row r="31" spans="2:22" ht="15" customHeight="1">
      <c r="J31" s="116"/>
      <c r="K31" s="237">
        <v>2030</v>
      </c>
      <c r="L31" s="560"/>
      <c r="M31" s="559"/>
      <c r="N31" s="177" t="str">
        <f t="shared" si="0"/>
        <v/>
      </c>
      <c r="O31" s="559"/>
      <c r="P31" s="559"/>
      <c r="Q31" s="177" t="str">
        <f t="shared" si="6"/>
        <v/>
      </c>
      <c r="R31" s="251" t="str">
        <f t="shared" si="7"/>
        <v/>
      </c>
      <c r="S31" s="114"/>
      <c r="T31" s="247"/>
      <c r="U31" s="246"/>
      <c r="V31" s="115"/>
    </row>
    <row r="32" spans="2:22" ht="15" customHeight="1">
      <c r="J32" s="116"/>
      <c r="K32" s="237">
        <v>2031</v>
      </c>
      <c r="L32" s="561"/>
      <c r="M32" s="562"/>
      <c r="N32" s="177" t="str">
        <f t="shared" si="0"/>
        <v/>
      </c>
      <c r="O32" s="566"/>
      <c r="P32" s="562"/>
      <c r="Q32" s="177" t="str">
        <f t="shared" si="6"/>
        <v/>
      </c>
      <c r="R32" s="251" t="str">
        <f t="shared" si="7"/>
        <v/>
      </c>
      <c r="S32" s="114"/>
      <c r="T32" s="247"/>
      <c r="U32" s="246"/>
      <c r="V32" s="115"/>
    </row>
    <row r="33" spans="7:22" ht="15" customHeight="1">
      <c r="J33" s="116"/>
      <c r="K33" s="237">
        <v>2032</v>
      </c>
      <c r="L33" s="561"/>
      <c r="M33" s="562"/>
      <c r="N33" s="177" t="str">
        <f t="shared" si="0"/>
        <v/>
      </c>
      <c r="O33" s="566"/>
      <c r="P33" s="562"/>
      <c r="Q33" s="177" t="str">
        <f t="shared" si="6"/>
        <v/>
      </c>
      <c r="R33" s="251" t="str">
        <f t="shared" si="7"/>
        <v/>
      </c>
      <c r="S33" s="114"/>
      <c r="T33" s="247"/>
      <c r="U33" s="246"/>
      <c r="V33" s="115"/>
    </row>
    <row r="34" spans="7:22" ht="15" customHeight="1">
      <c r="J34" s="116"/>
      <c r="K34" s="237">
        <v>2033</v>
      </c>
      <c r="L34" s="561"/>
      <c r="M34" s="562"/>
      <c r="N34" s="177" t="str">
        <f t="shared" si="0"/>
        <v/>
      </c>
      <c r="O34" s="566"/>
      <c r="P34" s="562"/>
      <c r="Q34" s="177" t="str">
        <f t="shared" si="6"/>
        <v/>
      </c>
      <c r="R34" s="251" t="str">
        <f t="shared" si="7"/>
        <v/>
      </c>
      <c r="S34" s="114"/>
      <c r="T34" s="247"/>
      <c r="U34" s="246"/>
      <c r="V34" s="115"/>
    </row>
    <row r="35" spans="7:22" ht="15" customHeight="1" thickBot="1">
      <c r="J35" s="116"/>
      <c r="K35" s="248">
        <v>2034</v>
      </c>
      <c r="L35" s="563"/>
      <c r="M35" s="564"/>
      <c r="N35" s="179" t="str">
        <f t="shared" si="0"/>
        <v/>
      </c>
      <c r="O35" s="567"/>
      <c r="P35" s="564"/>
      <c r="Q35" s="179" t="str">
        <f t="shared" si="6"/>
        <v/>
      </c>
      <c r="R35" s="252" t="str">
        <f t="shared" si="7"/>
        <v/>
      </c>
      <c r="S35" s="114"/>
      <c r="T35" s="247"/>
      <c r="U35" s="246"/>
      <c r="V35" s="115"/>
    </row>
    <row r="36" spans="7:22" ht="15" customHeight="1" thickBot="1">
      <c r="J36" s="172"/>
      <c r="K36" s="249"/>
      <c r="L36" s="249"/>
      <c r="M36" s="249"/>
      <c r="N36" s="249"/>
      <c r="O36" s="249"/>
      <c r="P36" s="249"/>
      <c r="Q36" s="249"/>
      <c r="R36" s="249"/>
      <c r="S36" s="173"/>
      <c r="T36" s="173"/>
      <c r="U36" s="173"/>
      <c r="V36" s="175"/>
    </row>
    <row r="37" spans="7:22">
      <c r="G37" s="98" t="s">
        <v>830</v>
      </c>
      <c r="L37" s="659" t="inlineStr">
        <is>
          <t xml:space="preserve">0920000868</t>
        </is>
      </c>
      <c r="M37" s="659" t="inlineStr">
        <is>
          <t xml:space="preserve">0920000991</t>
        </is>
      </c>
      <c r="O37" s="659" t="inlineStr">
        <is>
          <t xml:space="preserve">0920001913</t>
        </is>
      </c>
      <c r="P37" s="659" t="inlineStr">
        <is>
          <t xml:space="preserve">0920001914</t>
        </is>
      </c>
    </row>
    <row r="38" spans="7:22">
      <c r="G38" s="98" t="s">
        <v>187</v>
      </c>
      <c r="L38" s="98" t="inlineStr">
        <is>
          <t xml:space="preserve">Wake</t>
        </is>
      </c>
      <c r="M38" s="98" t="inlineStr">
        <is>
          <t xml:space="preserve">Wake</t>
        </is>
      </c>
      <c r="O38" s="98" t="inlineStr">
        <is>
          <t xml:space="preserve">Wake</t>
        </is>
      </c>
      <c r="P38" s="98" t="inlineStr">
        <is>
          <t xml:space="preserve">Wake</t>
        </is>
      </c>
    </row>
    <row r="39" spans="7:22">
      <c r="G39" s="98" t="s">
        <v>387</v>
      </c>
      <c r="L39" s="98" t="inlineStr">
        <is>
          <t xml:space="preserve">VOLUME</t>
        </is>
      </c>
      <c r="M39" s="98" t="inlineStr">
        <is>
          <t xml:space="preserve">VOLUME</t>
        </is>
      </c>
      <c r="O39" s="98" t="inlineStr">
        <is>
          <t xml:space="preserve">VOLUME</t>
        </is>
      </c>
      <c r="P39" s="98" t="inlineStr">
        <is>
          <t xml:space="preserve">VOLUME</t>
        </is>
      </c>
    </row>
    <row r="40" spans="7:22">
      <c r="G40" s="98" t="s">
        <v>832</v>
      </c>
      <c r="L40" s="98" t="inlineStr">
        <is>
          <t xml:space="preserve">2-WAY</t>
        </is>
      </c>
      <c r="M40" s="98" t="inlineStr">
        <is>
          <t xml:space="preserve">2-WAY</t>
        </is>
      </c>
      <c r="O40" s="98" t="inlineStr">
        <is>
          <t xml:space="preserve">2-WAY</t>
        </is>
      </c>
      <c r="P40" s="98" t="inlineStr">
        <is>
          <t xml:space="preserve">2-WAY</t>
        </is>
      </c>
    </row>
    <row r="41" spans="7:22">
      <c r="G41" s="98" t="s">
        <v>834</v>
      </c>
      <c r="L41" s="98">
        <v>40001375092</v>
      </c>
      <c r="M41" s="98">
        <v>40001375092</v>
      </c>
      <c r="O41" s="98">
        <v>40001390092</v>
      </c>
      <c r="P41" s="98">
        <v>40001503092</v>
      </c>
    </row>
    <row r="42" spans="7:22">
      <c r="G42" s="98" t="s">
        <v>835</v>
      </c>
      <c r="L42" s="98" t="inlineStr">
        <is>
          <t xml:space="preserve">SR 1375 (Lake Wheeler Rd)</t>
        </is>
      </c>
      <c r="M42" s="98" t="inlineStr">
        <is>
          <t xml:space="preserve">SR 1375 (Lake Wheeler Rd)</t>
        </is>
      </c>
      <c r="O42" s="98" t="inlineStr">
        <is>
          <t xml:space="preserve">SR 1390 (Optimist Farm Rd)</t>
        </is>
      </c>
      <c r="P42" s="98" t="inlineStr">
        <is>
          <t xml:space="preserve">SR 1503 (Donny Brook Rd)</t>
        </is>
      </c>
    </row>
    <row r="43" spans="7:22">
      <c r="G43" s="98" t="s">
        <v>836</v>
      </c>
      <c r="L43" s="98" t="inlineStr">
        <is>
          <t xml:space="preserve">NORTH OF</t>
        </is>
      </c>
      <c r="M43" s="98" t="inlineStr">
        <is>
          <t xml:space="preserve">SOUTH OF</t>
        </is>
      </c>
      <c r="O43" s="98" t="inlineStr">
        <is>
          <t xml:space="preserve">WEST OF</t>
        </is>
      </c>
      <c r="P43" s="98" t="inlineStr">
        <is>
          <t xml:space="preserve">EAST OF</t>
        </is>
      </c>
    </row>
    <row r="44" spans="7:22" ht="15" customHeight="1">
      <c r="G44" s="98" t="s">
        <v>838</v>
      </c>
      <c r="L44" s="98" t="inlineStr">
        <is>
          <t xml:space="preserve">SR 1390 (Optimist Farm Rd)</t>
        </is>
      </c>
      <c r="M44" s="98" t="inlineStr">
        <is>
          <t xml:space="preserve">SR 1503 (Donny Brook Rd)</t>
        </is>
      </c>
      <c r="O44" s="98" t="inlineStr">
        <is>
          <t xml:space="preserve">SR 1404 (Johnson Pond Rd)</t>
        </is>
      </c>
      <c r="P44" s="98" t="inlineStr">
        <is>
          <t xml:space="preserve">SR 1392 (Ransdell Rd)</t>
        </is>
      </c>
    </row>
    <row r="45" spans="7:22">
      <c r="G45" s="98" t="s">
        <v>839</v>
      </c>
      <c r="L45" s="98" t="inlineStr">
        <is>
          <t xml:space="preserve">SR</t>
        </is>
      </c>
      <c r="M45" s="98" t="inlineStr">
        <is>
          <t xml:space="preserve">SR</t>
        </is>
      </c>
      <c r="O45" s="98" t="inlineStr">
        <is>
          <t xml:space="preserve">SR</t>
        </is>
      </c>
      <c r="P45" s="98" t="inlineStr">
        <is>
          <t xml:space="preserve">SR</t>
        </is>
      </c>
    </row>
    <row r="46" spans="7:22">
      <c r="G46" s="98" t="s">
        <v>841</v>
      </c>
      <c r="L46" s="98" t="inlineStr">
        <is>
          <t xml:space="preserve">Major Collector</t>
        </is>
      </c>
      <c r="M46" s="98" t="inlineStr">
        <is>
          <t xml:space="preserve">Major Collector</t>
        </is>
      </c>
      <c r="O46" s="98" t="inlineStr">
        <is>
          <t xml:space="preserve">Major Collector</t>
        </is>
      </c>
      <c r="P46" s="98" t="inlineStr">
        <is>
          <t xml:space="preserve">Major Collector</t>
        </is>
      </c>
    </row>
    <row r="47" spans="7:22">
      <c r="G47" s="98" t="s">
        <v>843</v>
      </c>
    </row>
    <row r="48" spans="7:22">
      <c r="G48" s="98" t="s">
        <v>844</v>
      </c>
      <c r="L48" s="652">
        <v>5300</v>
      </c>
      <c r="M48" s="652">
        <v>3900</v>
      </c>
    </row>
    <row r="49" spans="7:15">
      <c r="G49" s="98" t="s">
        <v>845</v>
      </c>
    </row>
    <row r="50" spans="7:15">
      <c r="G50" s="98" t="s">
        <v>846</v>
      </c>
      <c r="L50" s="652">
        <v>6200</v>
      </c>
      <c r="M50" s="652">
        <v>4800</v>
      </c>
    </row>
    <row r="51" spans="7:15">
      <c r="G51" s="98" t="s">
        <v>847</v>
      </c>
    </row>
    <row r="52" spans="7:15">
      <c r="G52" s="98" t="s">
        <v>848</v>
      </c>
      <c r="L52" s="652">
        <v>6600</v>
      </c>
      <c r="M52" s="652">
        <v>4700</v>
      </c>
    </row>
    <row r="53" spans="7:15">
      <c r="G53" s="98" t="s">
        <v>849</v>
      </c>
    </row>
    <row r="54" spans="7:15">
      <c r="G54" s="98" t="s">
        <v>850</v>
      </c>
      <c r="L54" s="652">
        <v>6500</v>
      </c>
      <c r="M54" s="652">
        <v>4400</v>
      </c>
    </row>
    <row r="55" spans="7:15">
      <c r="G55" s="98" t="s">
        <v>851</v>
      </c>
    </row>
    <row r="56" spans="7:15">
      <c r="G56" s="98" t="s">
        <v>852</v>
      </c>
      <c r="L56" s="652">
        <v>6400</v>
      </c>
      <c r="M56" s="652">
        <v>4300</v>
      </c>
    </row>
    <row r="57" spans="7:15">
      <c r="G57" s="98" t="s">
        <v>853</v>
      </c>
    </row>
    <row r="58" spans="7:15">
      <c r="G58" s="98" t="s">
        <v>854</v>
      </c>
      <c r="L58" s="652">
        <v>9400</v>
      </c>
      <c r="M58" s="652">
        <v>9500</v>
      </c>
    </row>
    <row r="59" spans="7:15">
      <c r="G59" s="98" t="s">
        <v>855</v>
      </c>
      <c r="O59" s="652">
        <v>4200</v>
      </c>
      <c r="P59" s="652">
        <v>3000</v>
      </c>
    </row>
    <row r="60" spans="7:15">
      <c r="G60" s="98" t="s">
        <v>856</v>
      </c>
      <c r="L60" s="652">
        <v>6700</v>
      </c>
      <c r="M60" s="652">
        <v>4400</v>
      </c>
    </row>
    <row r="61" spans="7:15">
      <c r="G61" s="98" t="s">
        <v>857</v>
      </c>
    </row>
    <row r="62" spans="7:15">
      <c r="G62" s="98" t="s">
        <v>858</v>
      </c>
      <c r="L62" s="652">
        <v>7300</v>
      </c>
      <c r="M62" s="652">
        <v>5100</v>
      </c>
      <c r="O62" s="652">
        <v>5400</v>
      </c>
      <c r="P62" s="652">
        <v>3600</v>
      </c>
    </row>
    <row r="63" spans="7:15">
      <c r="G63" s="98" t="s">
        <v>859</v>
      </c>
    </row>
    <row r="64" spans="7:15">
      <c r="G64" s="98" t="s">
        <v>860</v>
      </c>
      <c r="L64" s="652">
        <v>8200</v>
      </c>
      <c r="M64" s="652">
        <v>6100</v>
      </c>
      <c r="O64" s="652">
        <v>5500</v>
      </c>
      <c r="P64" s="652">
        <v>3700</v>
      </c>
    </row>
    <row r="65" spans="7:15">
      <c r="G65" s="98" t="s">
        <v>861</v>
      </c>
    </row>
    <row r="66" spans="7:15">
      <c r="G66" s="98" t="s">
        <v>862</v>
      </c>
      <c r="L66" s="652">
        <v>8400</v>
      </c>
      <c r="M66" s="652">
        <v>6100</v>
      </c>
      <c r="O66" s="652">
        <v>5600</v>
      </c>
      <c r="P66" s="652">
        <v>3300</v>
      </c>
    </row>
    <row r="67" spans="7:15">
      <c r="G67" s="98" t="s">
        <v>863</v>
      </c>
    </row>
    <row r="68" spans="7:15">
      <c r="G68" s="98" t="s">
        <v>864</v>
      </c>
      <c r="L68" s="652">
        <v>7800</v>
      </c>
      <c r="M68" s="652">
        <v>6000</v>
      </c>
      <c r="O68" s="652">
        <v>4800</v>
      </c>
      <c r="P68" s="652">
        <v>2000</v>
      </c>
    </row>
    <row r="69" spans="7:15">
      <c r="G69" s="98" t="s">
        <v>865</v>
      </c>
    </row>
    <row r="70" spans="7:15">
      <c r="G70" s="98" t="s">
        <v>866</v>
      </c>
      <c r="L70" s="652">
        <v>8900</v>
      </c>
      <c r="M70" s="652">
        <v>7400</v>
      </c>
      <c r="O70" s="652">
        <v>4800</v>
      </c>
      <c r="P70" s="652">
        <v>2400</v>
      </c>
    </row>
    <row r="72" spans="7:15">
      <c r="G72" s="98" t="s">
        <v>56</v>
      </c>
      <c r="L72" s="98" t="inlineStr">
        <is>
          <t xml:space="preserve">AADT source: NCDOT 2025 AADT Stations / Traffic Segments (Traffic Survey Group, published 2026). All four legs have NCDOT count stations (counted in odd years). Black = published station counts; red = interpolated or assumed.</t>
        </is>
      </c>
    </row>
    <row r="73" spans="7:15">
      <c r="L73" s="98" t="inlineStr">
        <is>
          <t xml:space="preserve">Even years = average of the adjacent odd-year counts, rounded to the nearest 100; 2020 = 0.85 x the interpolated value (COVID); 2026 = 2025 value carried forward.</t>
        </is>
      </c>
    </row>
    <row r="74">
      <c r="L74" s="98" t="inlineStr">
        <is>
          <t xml:space="preserve">Leg #3 station 0920001913 is about 1 mi west of the intersection, west of SR 1404 (Johnson Pond Rd, 4,600 vpd in 2025), so the SR 1390 leg is flagged as estimated in the Assumptions leg table (counted years are still shown in black); the TSU intersection inventory (7/2026) also assigns 4,800 vpd (2024) to the SR 1390 leg. The same stations are used in both periods, so the before/after exposure ratio is unaffected.</t>
        </is>
      </c>
    </row>
    <row r="75">
      <c r="L75" s="98" t="inlineStr">
        <is>
          <t xml:space="preserve">Leg #4 station 0920001914 is about 0.15 mi east of the intersection, east of SR 1392 (Ransdell Rd, 2,300 vpd in 2025), so the SR 1503 leg volume at SR 1375 is probably higher than the station value (TSU inventory probe estimate about 4,200 vpd in 2021, about 1.28 x the station count). The station value is used unadjusted (counted years in black) and the leg is flagged as estimated in the Assumptions leg table.</t>
        </is>
      </c>
    </row>
    <row r="76">
      <c r="L76" s="98" t="inlineStr">
        <is>
          <t xml:space="preserve">Representative years: 2021 (before: the last year in the before period with published counts, per the instructions above; 2020 excluded per the COVID guidance; the 2021 counts may have been taken during the 2021 construction) and 2025 (after). The before period starts 4/1/2017, so 2017 counts are included in the table. Project-development ADT: 6,500 (2010) on SR 1375; total entering volume 9,000 vpd. The 2013 counts (9,400/9,500 on SR 1375) are an outlier outside the study period.</t>
        </is>
      </c>
    </row>
  </sheetData>
  <sheetProtection formatCells="0"/>
  <mergeCells count="32">
    <mergeCell ref="L4:N4"/>
    <mergeCell ref="C5:C6"/>
    <mergeCell ref="U22:U27"/>
    <mergeCell ref="AF5:AH5"/>
    <mergeCell ref="Q9:Q10"/>
    <mergeCell ref="R9:R10"/>
    <mergeCell ref="C21:G22"/>
    <mergeCell ref="U5:U7"/>
    <mergeCell ref="U8:U9"/>
    <mergeCell ref="U10:U11"/>
    <mergeCell ref="U12:U14"/>
    <mergeCell ref="U15:U17"/>
    <mergeCell ref="U19:U21"/>
    <mergeCell ref="F6:G6"/>
    <mergeCell ref="F5:G5"/>
    <mergeCell ref="C23:G24"/>
    <mergeCell ref="D5:D6"/>
    <mergeCell ref="B2:H2"/>
    <mergeCell ref="C17:G18"/>
    <mergeCell ref="C19:G20"/>
    <mergeCell ref="K8:R8"/>
    <mergeCell ref="K9:K10"/>
    <mergeCell ref="L9:L10"/>
    <mergeCell ref="M9:M10"/>
    <mergeCell ref="N9:N10"/>
    <mergeCell ref="O9:O10"/>
    <mergeCell ref="P9:P10"/>
    <mergeCell ref="J2:V2"/>
    <mergeCell ref="P5:Q5"/>
    <mergeCell ref="P6:Q6"/>
    <mergeCell ref="P4:R4"/>
    <mergeCell ref="F4:G4"/>
  </mergeCells>
  <dataValidations count="1">
    <dataValidation type="list" allowBlank="1" showInputMessage="1" showErrorMessage="1" sqref="N5:N6" xr:uid="{E61247EA-D892-4000-810B-FCCCE87A386C}">
      <formula1>$K$9:$K$35</formula1>
    </dataValidation>
  </dataValidations>
  <pageMargins left="0.7" right="0.7" top="0.75" bottom="0.75" header="0.3" footer="0.3"/>
  <pageSetup orientation="portrait" r:id="rId1"/>
  <ignoredErrors>
    <ignoredError sqref="N14 N11:N13 N15:N35" formulaRange="1"/>
    <ignoredError sqref="R23:R35 R11:R12 R13:R22" formulaRange="1" unlockedFormula="1"/>
  </ignoredErrors>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A1BDC-FADB-42CC-803D-56620A6D7EB6}">
  <sheetPr codeName="Sheet5"/>
  <dimension ref="A1:Q401"/>
  <sheetViews>
    <sheetView workbookViewId="0"/>
  </sheetViews>
  <sheetFormatPr defaultColWidth="9.15625" defaultRowHeight="14.4"/>
  <cols>
    <col min="1" max="1" width="4.7890625" style="98" customWidth="1"/>
    <col min="2" max="2" width="15.5234375" style="98" customWidth="1"/>
    <col min="3" max="3" width="16.47265625" style="98" customWidth="1"/>
    <col min="4" max="17" width="15.5234375" style="98" customWidth="1"/>
    <col min="18" max="16384" width="9.15625" style="98"/>
  </cols>
  <sheetData>
    <row r="1" spans="1:11" customFormat="1" ht="23.1">
      <c r="A1" s="91" t="s">
        <v>244</v>
      </c>
    </row>
    <row r="2" spans="1:11" customFormat="1">
      <c r="A2" s="92" t="s">
        <v>245</v>
      </c>
    </row>
    <row r="3" spans="1:11" customFormat="1" ht="15.6">
      <c r="A3" s="93" t="s">
        <v>301</v>
      </c>
    </row>
    <row r="4" spans="1:11" customFormat="1" ht="5.25" customHeight="1"/>
    <row r="5" spans="1:11" customFormat="1" ht="60.75" customHeight="1">
      <c r="B5" s="94" t="s">
        <v>246</v>
      </c>
      <c r="C5" s="736" t="s">
        <v>247</v>
      </c>
      <c r="D5" s="736"/>
      <c r="E5" s="736"/>
      <c r="F5" s="736"/>
      <c r="G5" s="736"/>
      <c r="H5" s="736"/>
      <c r="I5" s="736"/>
      <c r="J5" s="736"/>
      <c r="K5" s="737"/>
    </row>
    <row r="6" spans="1:11" customFormat="1" ht="4.5" customHeight="1">
      <c r="B6" s="95"/>
      <c r="C6" s="47"/>
      <c r="D6" s="47"/>
      <c r="E6" s="47"/>
      <c r="F6" s="47"/>
      <c r="G6" s="47"/>
      <c r="H6" s="47"/>
      <c r="I6" s="47"/>
      <c r="J6" s="47"/>
      <c r="K6" s="47"/>
    </row>
    <row r="7" spans="1:11" customFormat="1" ht="35.25" customHeight="1">
      <c r="B7" s="94" t="s">
        <v>248</v>
      </c>
      <c r="C7" s="736" t="s">
        <v>249</v>
      </c>
      <c r="D7" s="736"/>
      <c r="E7" s="736"/>
      <c r="F7" s="736"/>
      <c r="G7" s="736"/>
      <c r="H7" s="736"/>
      <c r="I7" s="736"/>
      <c r="J7" s="736"/>
      <c r="K7" s="737"/>
    </row>
    <row r="8" spans="1:11" customFormat="1" ht="5.25" customHeight="1">
      <c r="B8" s="95"/>
      <c r="C8" s="47"/>
      <c r="D8" s="47"/>
      <c r="E8" s="47"/>
      <c r="F8" s="47"/>
      <c r="G8" s="47"/>
      <c r="H8" s="47"/>
      <c r="I8" s="47"/>
      <c r="J8" s="47"/>
      <c r="K8" s="47"/>
    </row>
    <row r="9" spans="1:11" customFormat="1" ht="33" customHeight="1">
      <c r="B9" s="738" t="s">
        <v>250</v>
      </c>
      <c r="C9" s="741" t="s">
        <v>303</v>
      </c>
      <c r="D9" s="741"/>
      <c r="E9" s="741"/>
      <c r="F9" s="741"/>
      <c r="G9" s="741"/>
      <c r="H9" s="741"/>
      <c r="I9" s="741"/>
      <c r="J9" s="741"/>
      <c r="K9" s="742"/>
    </row>
    <row r="10" spans="1:11" customFormat="1" ht="19.5" customHeight="1">
      <c r="B10" s="739"/>
      <c r="C10" s="743" t="s">
        <v>251</v>
      </c>
      <c r="D10" s="743"/>
      <c r="E10" s="743"/>
      <c r="F10" s="743"/>
      <c r="G10" s="743"/>
      <c r="H10" s="743"/>
      <c r="I10" s="743"/>
      <c r="J10" s="743"/>
      <c r="K10" s="744"/>
    </row>
    <row r="11" spans="1:11" customFormat="1" ht="19.5" customHeight="1">
      <c r="B11" s="739"/>
      <c r="C11" s="743" t="s">
        <v>307</v>
      </c>
      <c r="D11" s="743"/>
      <c r="E11" s="743"/>
      <c r="F11" s="743"/>
      <c r="G11" s="743"/>
      <c r="H11" s="743"/>
      <c r="I11" s="743"/>
      <c r="J11" s="743"/>
      <c r="K11" s="744"/>
    </row>
    <row r="12" spans="1:11" customFormat="1" ht="69" customHeight="1">
      <c r="B12" s="740"/>
      <c r="C12" s="745" t="s">
        <v>713</v>
      </c>
      <c r="D12" s="745"/>
      <c r="E12" s="745"/>
      <c r="F12" s="745"/>
      <c r="G12" s="745"/>
      <c r="H12" s="745"/>
      <c r="I12" s="745"/>
      <c r="J12" s="745"/>
      <c r="K12" s="746"/>
    </row>
    <row r="13" spans="1:11" customFormat="1" ht="12.75" customHeight="1">
      <c r="B13" s="95"/>
    </row>
    <row r="14" spans="1:11" customFormat="1" ht="12.75" customHeight="1">
      <c r="B14" s="95"/>
    </row>
    <row r="15" spans="1:11" customFormat="1" ht="12.75" customHeight="1">
      <c r="B15" s="95"/>
    </row>
    <row r="16" spans="1:11" customFormat="1" ht="12.75" customHeight="1">
      <c r="B16" s="95"/>
    </row>
    <row r="17" spans="2:17" customFormat="1" ht="18.3">
      <c r="B17" s="96" t="s">
        <v>252</v>
      </c>
    </row>
    <row r="18" spans="2:17" customFormat="1" ht="60.75" customHeight="1">
      <c r="B18" s="735" t="s">
        <v>308</v>
      </c>
      <c r="C18" s="735"/>
      <c r="D18" s="735"/>
      <c r="E18" s="735"/>
      <c r="F18" s="735"/>
      <c r="G18" s="735"/>
      <c r="H18" s="735"/>
      <c r="I18" s="735"/>
      <c r="J18" s="735"/>
      <c r="K18" s="735"/>
    </row>
    <row r="19" spans="2:17" customFormat="1" ht="6" customHeight="1">
      <c r="B19" s="96"/>
    </row>
    <row r="20" spans="2:17" customFormat="1">
      <c r="B20" s="5" t="s">
        <v>253</v>
      </c>
      <c r="C20" s="5" t="s">
        <v>254</v>
      </c>
      <c r="D20" s="5" t="s">
        <v>255</v>
      </c>
      <c r="E20" s="5" t="s">
        <v>256</v>
      </c>
      <c r="F20" s="5" t="s">
        <v>257</v>
      </c>
      <c r="G20" s="5" t="s">
        <v>258</v>
      </c>
      <c r="H20" s="5" t="s">
        <v>259</v>
      </c>
      <c r="I20" s="5" t="s">
        <v>260</v>
      </c>
      <c r="J20" s="5" t="s">
        <v>261</v>
      </c>
      <c r="K20" s="5" t="s">
        <v>262</v>
      </c>
      <c r="L20" s="5" t="s">
        <v>263</v>
      </c>
      <c r="M20" s="5" t="s">
        <v>264</v>
      </c>
      <c r="N20" s="5" t="s">
        <v>265</v>
      </c>
      <c r="O20" s="5" t="s">
        <v>266</v>
      </c>
      <c r="P20" s="5" t="s">
        <v>267</v>
      </c>
      <c r="Q20" s="5" t="s">
        <v>268</v>
      </c>
    </row>
    <row r="21" spans="2:17" ht="57.6">
      <c r="B21" s="97" t="s">
        <v>297</v>
      </c>
      <c r="C21" s="97" t="s">
        <v>298</v>
      </c>
      <c r="D21" s="97" t="s">
        <v>299</v>
      </c>
      <c r="E21" s="97" t="s">
        <v>300</v>
      </c>
      <c r="F21" s="97" t="s">
        <v>269</v>
      </c>
      <c r="G21" s="97" t="s">
        <v>270</v>
      </c>
      <c r="H21" s="97" t="s">
        <v>271</v>
      </c>
      <c r="I21" s="97" t="s">
        <v>272</v>
      </c>
      <c r="J21" s="97" t="s">
        <v>273</v>
      </c>
      <c r="K21" s="97" t="s">
        <v>274</v>
      </c>
      <c r="L21" s="97" t="s">
        <v>275</v>
      </c>
      <c r="M21" s="97" t="s">
        <v>276</v>
      </c>
      <c r="N21" s="97" t="s">
        <v>277</v>
      </c>
      <c r="O21" s="97" t="s">
        <v>278</v>
      </c>
      <c r="P21" s="97" t="s">
        <v>279</v>
      </c>
      <c r="Q21" s="97" t="s">
        <v>280</v>
      </c>
    </row>
    <row r="22" spans="2:17" s="92" customFormat="1" ht="65.25" customHeight="1" thickBot="1">
      <c r="B22" s="99" t="s">
        <v>281</v>
      </c>
      <c r="C22" s="99" t="s">
        <v>282</v>
      </c>
      <c r="D22" s="99" t="s">
        <v>283</v>
      </c>
      <c r="E22" s="99" t="s">
        <v>284</v>
      </c>
      <c r="F22" s="99" t="s">
        <v>285</v>
      </c>
      <c r="G22" s="99" t="s">
        <v>286</v>
      </c>
      <c r="H22" s="99" t="s">
        <v>287</v>
      </c>
      <c r="I22" s="99" t="s">
        <v>288</v>
      </c>
      <c r="J22" s="99" t="s">
        <v>289</v>
      </c>
      <c r="K22" s="99" t="s">
        <v>290</v>
      </c>
      <c r="L22" s="99" t="s">
        <v>291</v>
      </c>
      <c r="M22" s="99" t="s">
        <v>292</v>
      </c>
      <c r="N22" s="99" t="s">
        <v>293</v>
      </c>
      <c r="O22" s="99" t="s">
        <v>294</v>
      </c>
      <c r="P22" s="99" t="s">
        <v>295</v>
      </c>
      <c r="Q22" s="99" t="s">
        <v>296</v>
      </c>
    </row>
    <row r="23" spans="2:17" customFormat="1"/>
    <row r="24" spans="2:17" customFormat="1"/>
    <row r="25" spans="2:17" customFormat="1"/>
    <row r="26" spans="2:17" customFormat="1"/>
    <row r="27" spans="2:17" customFormat="1"/>
    <row r="28" spans="2:17" customFormat="1"/>
    <row r="29" spans="2:17" customFormat="1"/>
    <row r="30" spans="2:17" customFormat="1"/>
    <row r="31" spans="2:17" customFormat="1"/>
    <row r="32" spans="2:17" customFormat="1"/>
    <row r="33" customFormat="1"/>
    <row r="34" customFormat="1"/>
    <row r="35" customFormat="1"/>
    <row r="36" customFormat="1"/>
    <row r="37" customFormat="1"/>
    <row r="38" customFormat="1"/>
    <row r="39" customFormat="1"/>
    <row r="40" customFormat="1"/>
    <row r="41" customFormat="1"/>
    <row r="42" customFormat="1"/>
    <row r="43" customFormat="1"/>
    <row r="44" customFormat="1"/>
    <row r="45" customFormat="1"/>
    <row r="46" customFormat="1"/>
    <row r="47" customFormat="1"/>
    <row r="48" customFormat="1"/>
    <row r="49" customFormat="1"/>
    <row r="50" customFormat="1"/>
    <row r="51" customFormat="1"/>
    <row r="52" customFormat="1"/>
    <row r="53" customFormat="1"/>
    <row r="54" customFormat="1"/>
    <row r="55" customFormat="1"/>
    <row r="56" customFormat="1"/>
    <row r="57" customFormat="1"/>
    <row r="58" customFormat="1"/>
    <row r="59" customFormat="1"/>
    <row r="60" customFormat="1"/>
    <row r="61" customFormat="1"/>
    <row r="62" customFormat="1"/>
    <row r="63" customFormat="1"/>
    <row r="64" customFormat="1"/>
    <row r="65" customFormat="1"/>
    <row r="66" customFormat="1"/>
    <row r="67" customFormat="1"/>
    <row r="68" customFormat="1"/>
    <row r="69" customFormat="1"/>
    <row r="70" customFormat="1"/>
    <row r="71" customFormat="1"/>
    <row r="72" customFormat="1"/>
    <row r="73" customFormat="1"/>
    <row r="74" customFormat="1"/>
    <row r="75" customFormat="1"/>
    <row r="76" customFormat="1"/>
    <row r="77" customFormat="1"/>
    <row r="78" customFormat="1"/>
    <row r="79" customFormat="1"/>
    <row r="80" customFormat="1"/>
    <row r="81" customFormat="1"/>
    <row r="82" customFormat="1"/>
    <row r="83" customFormat="1"/>
    <row r="84" customFormat="1"/>
    <row r="85" customFormat="1"/>
    <row r="86" customFormat="1"/>
    <row r="87" customFormat="1"/>
    <row r="88" customFormat="1"/>
    <row r="89" customFormat="1"/>
    <row r="90" customFormat="1"/>
    <row r="91" customFormat="1"/>
    <row r="92" customFormat="1"/>
    <row r="93" customFormat="1"/>
    <row r="94" customFormat="1"/>
    <row r="95" customFormat="1"/>
    <row r="96" customFormat="1"/>
    <row r="97" customFormat="1"/>
    <row r="98" customFormat="1"/>
    <row r="99" customFormat="1"/>
    <row r="100" customFormat="1"/>
    <row r="101" customFormat="1"/>
    <row r="102" customFormat="1"/>
    <row r="103" customFormat="1"/>
    <row r="104" customFormat="1"/>
    <row r="105" customFormat="1"/>
    <row r="106" customFormat="1"/>
    <row r="107" customFormat="1"/>
    <row r="108" customFormat="1"/>
    <row r="109" customFormat="1"/>
    <row r="110" customFormat="1"/>
    <row r="111" customFormat="1"/>
    <row r="112" customFormat="1"/>
    <row r="113" customFormat="1"/>
    <row r="114" customFormat="1"/>
    <row r="115" customFormat="1"/>
    <row r="116" customFormat="1"/>
    <row r="117" customFormat="1"/>
    <row r="118" customFormat="1"/>
    <row r="119" customFormat="1"/>
    <row r="120" customFormat="1"/>
    <row r="121" customFormat="1"/>
    <row r="122" customFormat="1"/>
    <row r="123" customFormat="1"/>
    <row r="124" customFormat="1"/>
    <row r="125" customFormat="1"/>
    <row r="126" customFormat="1"/>
    <row r="127" customFormat="1"/>
    <row r="128" customFormat="1"/>
    <row r="129" customFormat="1"/>
    <row r="130" customFormat="1"/>
    <row r="131" customFormat="1"/>
    <row r="132" customFormat="1"/>
    <row r="133" customFormat="1"/>
    <row r="134" customFormat="1"/>
    <row r="135" customFormat="1"/>
    <row r="136" customFormat="1"/>
    <row r="137" customFormat="1"/>
    <row r="138" customFormat="1"/>
    <row r="139" customFormat="1"/>
    <row r="140" customFormat="1"/>
    <row r="141" customFormat="1"/>
    <row r="142" customFormat="1"/>
    <row r="143" customFormat="1"/>
    <row r="144" customFormat="1"/>
    <row r="145" customFormat="1"/>
    <row r="146" customFormat="1"/>
    <row r="147" customFormat="1"/>
    <row r="148" customFormat="1"/>
    <row r="149" customFormat="1"/>
    <row r="150" customFormat="1"/>
    <row r="151" customFormat="1"/>
    <row r="152" customFormat="1"/>
    <row r="153" customFormat="1"/>
    <row r="154" customFormat="1"/>
    <row r="155" customFormat="1"/>
    <row r="156" customFormat="1"/>
    <row r="157" customFormat="1"/>
    <row r="158" customFormat="1"/>
    <row r="159" customFormat="1"/>
    <row r="160" customFormat="1"/>
    <row r="161" customFormat="1"/>
    <row r="162" customFormat="1"/>
    <row r="163" customFormat="1"/>
    <row r="164" customFormat="1"/>
    <row r="165" customFormat="1"/>
    <row r="166" customFormat="1"/>
    <row r="167" customFormat="1"/>
    <row r="168" customFormat="1"/>
    <row r="169" customFormat="1"/>
    <row r="170" customFormat="1"/>
    <row r="171" customFormat="1"/>
    <row r="172" customFormat="1"/>
    <row r="173" customFormat="1"/>
    <row r="174" customFormat="1"/>
    <row r="175" customFormat="1"/>
    <row r="176" customFormat="1"/>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customFormat="1"/>
    <row r="194" customFormat="1"/>
    <row r="195" customFormat="1"/>
    <row r="196" customFormat="1"/>
    <row r="197" customFormat="1"/>
    <row r="198" customFormat="1"/>
    <row r="199" customFormat="1"/>
    <row r="200" customFormat="1"/>
    <row r="201" customFormat="1"/>
    <row r="202" customFormat="1"/>
    <row r="203" customFormat="1"/>
    <row r="204" customFormat="1"/>
    <row r="205" customFormat="1"/>
    <row r="206" customFormat="1"/>
    <row r="207" customFormat="1"/>
    <row r="208" customFormat="1"/>
    <row r="209" customFormat="1"/>
    <row r="210" customFormat="1"/>
    <row r="211" customFormat="1"/>
    <row r="212" customFormat="1"/>
    <row r="213" customFormat="1"/>
    <row r="214" customFormat="1"/>
    <row r="215" customFormat="1"/>
    <row r="216" customFormat="1"/>
    <row r="217" customFormat="1"/>
    <row r="218" customFormat="1"/>
    <row r="219" customFormat="1"/>
    <row r="220" customFormat="1"/>
    <row r="221" customFormat="1"/>
    <row r="222" customFormat="1"/>
    <row r="223" customFormat="1"/>
    <row r="224" customFormat="1"/>
    <row r="225" customFormat="1"/>
    <row r="226" customFormat="1"/>
    <row r="227" customFormat="1"/>
    <row r="228" customFormat="1"/>
    <row r="229" customFormat="1"/>
    <row r="230" customFormat="1"/>
    <row r="231" customFormat="1"/>
    <row r="232" customFormat="1"/>
    <row r="233" customFormat="1"/>
    <row r="234" customFormat="1"/>
    <row r="235" customFormat="1"/>
    <row r="236" customFormat="1"/>
    <row r="237" customFormat="1"/>
    <row r="238" customFormat="1"/>
    <row r="239" customFormat="1"/>
    <row r="240" customFormat="1"/>
    <row r="241" customFormat="1"/>
    <row r="242" customFormat="1"/>
    <row r="243" customFormat="1"/>
    <row r="244" customFormat="1"/>
    <row r="245" customFormat="1"/>
    <row r="246" customFormat="1"/>
    <row r="247" customFormat="1"/>
    <row r="248" customFormat="1"/>
    <row r="249" customFormat="1"/>
    <row r="250" customFormat="1"/>
    <row r="251" customFormat="1"/>
    <row r="252" customFormat="1"/>
    <row r="253" customFormat="1"/>
    <row r="254" customFormat="1"/>
    <row r="255" customFormat="1"/>
    <row r="256" customFormat="1"/>
    <row r="257" customFormat="1"/>
    <row r="258" customFormat="1"/>
    <row r="259" customFormat="1"/>
    <row r="260" customFormat="1"/>
    <row r="261" customFormat="1"/>
    <row r="262" customFormat="1"/>
    <row r="263" customFormat="1"/>
    <row r="264" customFormat="1"/>
    <row r="265" customFormat="1"/>
    <row r="266" customFormat="1"/>
    <row r="267" customFormat="1"/>
    <row r="268" customFormat="1"/>
    <row r="269" customFormat="1"/>
    <row r="270" customFormat="1"/>
    <row r="271" customFormat="1"/>
    <row r="272" customFormat="1"/>
    <row r="273" customFormat="1"/>
    <row r="274" customFormat="1"/>
    <row r="275" customFormat="1"/>
    <row r="276" customFormat="1"/>
    <row r="277" customFormat="1"/>
    <row r="278" customFormat="1"/>
    <row r="279" customFormat="1"/>
    <row r="280" customFormat="1"/>
    <row r="281" customFormat="1"/>
    <row r="282" customFormat="1"/>
    <row r="283" customFormat="1"/>
    <row r="284" customFormat="1"/>
    <row r="285" customFormat="1"/>
    <row r="286" customFormat="1"/>
    <row r="287" customFormat="1"/>
    <row r="288" customFormat="1"/>
    <row r="289" customFormat="1"/>
    <row r="290" customFormat="1"/>
    <row r="291" customFormat="1"/>
    <row r="292" customFormat="1"/>
    <row r="293" customFormat="1"/>
    <row r="294" customFormat="1"/>
    <row r="295" customFormat="1"/>
    <row r="296" customFormat="1"/>
    <row r="297" customFormat="1"/>
    <row r="298" customFormat="1"/>
    <row r="299" customFormat="1"/>
    <row r="300" customFormat="1"/>
    <row r="301" customFormat="1"/>
    <row r="302" customFormat="1"/>
    <row r="303" customFormat="1"/>
    <row r="304" customFormat="1"/>
    <row r="305" customFormat="1"/>
    <row r="306" customFormat="1"/>
    <row r="307" customFormat="1"/>
    <row r="308" customFormat="1"/>
    <row r="309" customFormat="1"/>
    <row r="310" customFormat="1"/>
    <row r="311" customFormat="1"/>
    <row r="312" customFormat="1"/>
    <row r="313" customFormat="1"/>
    <row r="314" customFormat="1"/>
    <row r="315" customFormat="1"/>
    <row r="316" customFormat="1"/>
    <row r="317" customFormat="1"/>
    <row r="318" customFormat="1"/>
    <row r="319" customFormat="1"/>
    <row r="320" customFormat="1"/>
    <row r="321" customFormat="1"/>
    <row r="322" customFormat="1"/>
    <row r="323" customFormat="1"/>
    <row r="324" customFormat="1"/>
    <row r="325" customFormat="1"/>
    <row r="326" customFormat="1"/>
    <row r="327" customFormat="1"/>
    <row r="328" customFormat="1"/>
    <row r="329" customFormat="1"/>
    <row r="330" customFormat="1"/>
    <row r="331" customFormat="1"/>
    <row r="332" customFormat="1"/>
    <row r="333" customFormat="1"/>
    <row r="334" customFormat="1"/>
    <row r="335" customFormat="1"/>
    <row r="336" customFormat="1"/>
    <row r="337" customFormat="1"/>
    <row r="338" customFormat="1"/>
    <row r="339" customFormat="1"/>
    <row r="340" customFormat="1"/>
    <row r="341" customFormat="1"/>
    <row r="342" customFormat="1"/>
    <row r="343" customFormat="1"/>
    <row r="344" customFormat="1"/>
    <row r="345" customFormat="1"/>
    <row r="346" customFormat="1"/>
    <row r="347" customFormat="1"/>
    <row r="348" customFormat="1"/>
    <row r="349" customFormat="1"/>
    <row r="350" customFormat="1"/>
    <row r="351" customFormat="1"/>
    <row r="352" customFormat="1"/>
    <row r="353" customFormat="1"/>
    <row r="354" customFormat="1"/>
    <row r="355" customFormat="1"/>
    <row r="356" customFormat="1"/>
    <row r="357" customFormat="1"/>
    <row r="358" customFormat="1"/>
    <row r="359" customFormat="1"/>
    <row r="360" customFormat="1"/>
    <row r="361" customFormat="1"/>
    <row r="362" customFormat="1"/>
    <row r="363" customFormat="1"/>
    <row r="364" customFormat="1"/>
    <row r="365" customFormat="1"/>
    <row r="366" customFormat="1"/>
    <row r="367" customFormat="1"/>
    <row r="368" customFormat="1"/>
    <row r="369" customFormat="1"/>
    <row r="370" customFormat="1"/>
    <row r="371" customFormat="1"/>
    <row r="372" customFormat="1"/>
    <row r="373" customFormat="1"/>
    <row r="374" customFormat="1"/>
    <row r="375" customFormat="1"/>
    <row r="376" customFormat="1"/>
    <row r="377" customFormat="1"/>
    <row r="378" customFormat="1"/>
    <row r="379" customFormat="1"/>
    <row r="380" customFormat="1"/>
    <row r="381" customFormat="1"/>
    <row r="382" customFormat="1"/>
    <row r="383" customFormat="1"/>
    <row r="384" customFormat="1"/>
    <row r="385" customFormat="1"/>
    <row r="386" customFormat="1"/>
    <row r="387" customFormat="1"/>
    <row r="388" customFormat="1"/>
    <row r="389" customFormat="1"/>
    <row r="390" customFormat="1"/>
    <row r="391" customFormat="1"/>
    <row r="392" customFormat="1"/>
    <row r="393" customFormat="1"/>
    <row r="394" customFormat="1"/>
    <row r="395" customFormat="1"/>
    <row r="396" customFormat="1"/>
    <row r="397" customFormat="1"/>
    <row r="398" customFormat="1"/>
    <row r="399" customFormat="1"/>
    <row r="400" customFormat="1"/>
    <row r="401" customFormat="1"/>
  </sheetData>
  <mergeCells count="8">
    <mergeCell ref="B18:K18"/>
    <mergeCell ref="C5:K5"/>
    <mergeCell ref="C7:K7"/>
    <mergeCell ref="B9:B12"/>
    <mergeCell ref="C9:K9"/>
    <mergeCell ref="C10:K10"/>
    <mergeCell ref="C11:K11"/>
    <mergeCell ref="C12:K12"/>
  </mergeCells>
  <phoneticPr fontId="44" type="noConversion"/>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S1_Fiche_Prep.S1_Fiche_Prep">
                <anchor moveWithCells="1" sizeWithCells="1">
                  <from>
                    <xdr:col>1</xdr:col>
                    <xdr:colOff>11430</xdr:colOff>
                    <xdr:row>12</xdr:row>
                    <xdr:rowOff>114300</xdr:rowOff>
                  </from>
                  <to>
                    <xdr:col>2</xdr:col>
                    <xdr:colOff>525780</xdr:colOff>
                    <xdr:row>15</xdr:row>
                    <xdr:rowOff>87630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81D723-0DD9-4760-81CD-ECA58182ECE1}">
  <sheetPr codeName="Sheet6"/>
  <dimension ref="B1:Q55"/>
  <sheetViews>
    <sheetView workbookViewId="0">
      <selection activeCell="B3" sqref="B3"/>
    </sheetView>
  </sheetViews>
  <sheetFormatPr defaultColWidth="9.15625" defaultRowHeight="14.4"/>
  <cols>
    <col min="1" max="6" width="9.15625" style="98"/>
    <col min="7" max="7" width="2.734375" style="98" customWidth="1"/>
    <col min="8" max="8" width="9.15625" style="98"/>
    <col min="9" max="9" width="3.5234375" style="98" customWidth="1"/>
    <col min="10" max="16384" width="9.15625" style="98"/>
  </cols>
  <sheetData>
    <row r="1" spans="2:17" ht="14.7" thickBot="1"/>
    <row r="2" spans="2:17" ht="30.9" thickBot="1">
      <c r="B2" s="747" t="s">
        <v>304</v>
      </c>
      <c r="C2" s="748"/>
      <c r="D2" s="748"/>
      <c r="E2" s="748"/>
      <c r="F2" s="749"/>
      <c r="I2" s="750" t="s">
        <v>302</v>
      </c>
      <c r="J2" s="751"/>
      <c r="K2" s="751"/>
      <c r="L2" s="751"/>
      <c r="M2" s="751"/>
      <c r="N2" s="751"/>
      <c r="O2" s="751"/>
      <c r="P2" s="751"/>
      <c r="Q2" s="752"/>
    </row>
    <row r="3" spans="2:17">
      <c r="B3" s="98" t="s">
        <v>894</v>
      </c>
      <c r="C3" t="s">
        <v>895</v>
      </c>
      <c r="D3" s="595" t="s">
        <v>896</v>
      </c>
      <c r="E3" t="s">
        <v>897</v>
      </c>
      <c r="F3" t="s">
        <v>898</v>
      </c>
      <c r="I3" s="6" t="s">
        <v>45</v>
      </c>
      <c r="J3" s="753" t="s">
        <v>305</v>
      </c>
      <c r="K3" s="753"/>
      <c r="L3" s="753"/>
      <c r="M3" s="753"/>
      <c r="N3" s="753"/>
      <c r="O3" s="753"/>
      <c r="P3" s="753"/>
      <c r="Q3" s="754"/>
    </row>
    <row r="4" spans="2:17" ht="14.7" thickBot="1">
      <c r="B4" s="98">
        <v>104999009</v>
      </c>
      <c r="C4">
        <v>50020561</v>
      </c>
      <c r="D4" s="595">
        <v>5</v>
      </c>
      <c r="E4" s="595" t="s">
        <v>899</v>
      </c>
      <c r="F4">
        <v>30</v>
      </c>
      <c r="I4" s="596" t="s">
        <v>45</v>
      </c>
      <c r="J4" s="755" t="s">
        <v>306</v>
      </c>
      <c r="K4" s="755"/>
      <c r="L4" s="755"/>
      <c r="M4" s="755"/>
      <c r="N4" s="755"/>
      <c r="O4" s="755"/>
      <c r="P4" s="755"/>
      <c r="Q4" s="756"/>
    </row>
    <row r="5" spans="2:17">
      <c r="B5" s="98">
        <v>105125296</v>
      </c>
      <c r="C5">
        <v>50020561</v>
      </c>
      <c r="D5" s="595">
        <v>5</v>
      </c>
      <c r="E5" s="595" t="s">
        <v>900</v>
      </c>
      <c r="F5">
        <v>30</v>
      </c>
    </row>
    <row r="6" spans="2:17">
      <c r="B6" s="98">
        <v>105186073</v>
      </c>
      <c r="C6">
        <v>50020561</v>
      </c>
      <c r="D6">
        <v>5</v>
      </c>
      <c r="E6" s="595" t="s">
        <v>901</v>
      </c>
      <c r="F6">
        <v>19</v>
      </c>
    </row>
    <row r="7" spans="2:17">
      <c r="B7" s="98">
        <v>105233216</v>
      </c>
      <c r="C7">
        <v>50042993</v>
      </c>
      <c r="D7">
        <v>5</v>
      </c>
      <c r="E7" s="595" t="s">
        <v>902</v>
      </c>
      <c r="F7">
        <v>26</v>
      </c>
    </row>
    <row r="8" spans="2:17">
      <c r="B8" s="98">
        <v>105329607</v>
      </c>
      <c r="C8">
        <v>50020561</v>
      </c>
      <c r="D8">
        <v>5</v>
      </c>
      <c r="E8" s="595" t="s">
        <v>903</v>
      </c>
      <c r="F8">
        <v>30</v>
      </c>
    </row>
    <row r="9" spans="2:17">
      <c r="B9" s="98">
        <v>105329610</v>
      </c>
      <c r="C9">
        <v>50020561</v>
      </c>
      <c r="D9">
        <v>5</v>
      </c>
      <c r="E9" s="595" t="s">
        <v>904</v>
      </c>
      <c r="F9">
        <v>30</v>
      </c>
    </row>
    <row r="10" spans="2:17">
      <c r="B10" s="98">
        <v>105329614</v>
      </c>
      <c r="C10">
        <v>50042993</v>
      </c>
      <c r="D10">
        <v>5</v>
      </c>
      <c r="E10" s="595" t="s">
        <v>905</v>
      </c>
      <c r="F10">
        <v>30</v>
      </c>
    </row>
    <row r="11" spans="2:17">
      <c r="B11" s="98">
        <v>105465438</v>
      </c>
      <c r="C11">
        <v>50020561</v>
      </c>
      <c r="D11">
        <v>5</v>
      </c>
      <c r="E11" s="595" t="s">
        <v>906</v>
      </c>
      <c r="F11">
        <v>21</v>
      </c>
    </row>
    <row r="12" spans="2:17">
      <c r="B12" s="98">
        <v>105611574</v>
      </c>
      <c r="C12">
        <v>50020561</v>
      </c>
      <c r="D12">
        <v>5</v>
      </c>
      <c r="E12" s="595" t="s">
        <v>907</v>
      </c>
      <c r="F12">
        <v>1</v>
      </c>
    </row>
    <row r="13" spans="2:17">
      <c r="B13" s="98">
        <v>105682086</v>
      </c>
      <c r="C13">
        <v>50042993</v>
      </c>
      <c r="D13">
        <v>4</v>
      </c>
      <c r="E13" s="595" t="s">
        <v>908</v>
      </c>
      <c r="F13">
        <v>27</v>
      </c>
    </row>
    <row r="14" spans="2:17">
      <c r="B14" s="98">
        <v>105741351</v>
      </c>
      <c r="C14">
        <v>50020561</v>
      </c>
      <c r="D14">
        <v>5</v>
      </c>
      <c r="E14" s="595" t="s">
        <v>909</v>
      </c>
      <c r="F14">
        <v>28</v>
      </c>
    </row>
    <row r="15" spans="2:17">
      <c r="B15" s="98">
        <v>105984052</v>
      </c>
      <c r="C15">
        <v>50020561</v>
      </c>
      <c r="D15">
        <v>4</v>
      </c>
      <c r="E15" s="595" t="s">
        <v>910</v>
      </c>
      <c r="F15">
        <v>30</v>
      </c>
    </row>
    <row r="16" spans="2:17">
      <c r="B16" s="98">
        <v>105984439</v>
      </c>
      <c r="C16">
        <v>50042993</v>
      </c>
      <c r="D16">
        <v>4</v>
      </c>
      <c r="E16" s="595" t="s">
        <v>911</v>
      </c>
      <c r="F16">
        <v>21</v>
      </c>
    </row>
    <row r="17" spans="2:6">
      <c r="B17" s="98">
        <v>106223033</v>
      </c>
      <c r="C17">
        <v>50020561</v>
      </c>
      <c r="D17">
        <v>5</v>
      </c>
      <c r="E17" s="595" t="s">
        <v>912</v>
      </c>
      <c r="F17">
        <v>28</v>
      </c>
    </row>
    <row r="18" spans="2:6">
      <c r="B18" s="98">
        <v>106231607</v>
      </c>
      <c r="C18">
        <v>50020561</v>
      </c>
      <c r="D18">
        <v>5</v>
      </c>
      <c r="E18" s="595" t="s">
        <v>912</v>
      </c>
      <c r="F18">
        <v>28</v>
      </c>
    </row>
    <row r="19" spans="2:6">
      <c r="B19" s="98">
        <v>106350413</v>
      </c>
      <c r="C19">
        <v>50020561</v>
      </c>
      <c r="D19">
        <v>5</v>
      </c>
      <c r="E19" s="595" t="s">
        <v>913</v>
      </c>
      <c r="F19">
        <v>21</v>
      </c>
    </row>
    <row r="20" spans="2:6">
      <c r="B20" s="98">
        <v>106372334</v>
      </c>
      <c r="C20">
        <v>50020561</v>
      </c>
      <c r="D20">
        <v>4</v>
      </c>
      <c r="E20" s="595" t="s">
        <v>914</v>
      </c>
      <c r="F20">
        <v>30</v>
      </c>
    </row>
    <row r="21" spans="2:6">
      <c r="B21" s="98">
        <v>106802009</v>
      </c>
      <c r="C21">
        <v>50020561</v>
      </c>
      <c r="D21">
        <v>5</v>
      </c>
      <c r="E21" s="595" t="s">
        <v>915</v>
      </c>
      <c r="F21">
        <v>23</v>
      </c>
    </row>
    <row r="22" spans="2:6">
      <c r="B22" s="98">
        <v>106802024</v>
      </c>
      <c r="C22">
        <v>50020561</v>
      </c>
      <c r="D22">
        <v>5</v>
      </c>
      <c r="E22" s="595" t="s">
        <v>916</v>
      </c>
      <c r="F22">
        <v>21</v>
      </c>
    </row>
    <row r="23" spans="2:6">
      <c r="B23" s="98">
        <v>106802287</v>
      </c>
      <c r="C23">
        <v>50020561</v>
      </c>
      <c r="D23">
        <v>4</v>
      </c>
      <c r="E23" s="595" t="s">
        <v>917</v>
      </c>
      <c r="F23">
        <v>24</v>
      </c>
    </row>
    <row r="24" spans="2:6">
      <c r="B24" s="98">
        <v>106802462</v>
      </c>
      <c r="C24">
        <v>50020561</v>
      </c>
      <c r="D24">
        <v>5</v>
      </c>
      <c r="E24" s="595" t="s">
        <v>918</v>
      </c>
      <c r="F24">
        <v>23</v>
      </c>
    </row>
    <row r="25" spans="2:6">
      <c r="B25" s="98">
        <v>106812334</v>
      </c>
      <c r="C25">
        <v>50020561</v>
      </c>
      <c r="D25">
        <v>5</v>
      </c>
      <c r="E25" s="595" t="s">
        <v>919</v>
      </c>
      <c r="F25">
        <v>24</v>
      </c>
    </row>
    <row r="26" spans="2:6">
      <c r="B26" s="98">
        <v>106907157</v>
      </c>
      <c r="C26">
        <v>50020561</v>
      </c>
      <c r="D26">
        <v>5</v>
      </c>
      <c r="E26" s="595" t="s">
        <v>920</v>
      </c>
      <c r="F26">
        <v>30</v>
      </c>
    </row>
    <row r="27" spans="2:6">
      <c r="B27" s="98">
        <v>106915544</v>
      </c>
      <c r="C27">
        <v>50020561</v>
      </c>
      <c r="D27">
        <v>5</v>
      </c>
      <c r="E27" s="595" t="s">
        <v>921</v>
      </c>
      <c r="F27">
        <v>28</v>
      </c>
    </row>
    <row r="28" spans="2:6">
      <c r="B28" s="98">
        <v>107004020</v>
      </c>
      <c r="C28">
        <v>50020561</v>
      </c>
      <c r="D28">
        <v>5</v>
      </c>
      <c r="E28" s="595" t="s">
        <v>922</v>
      </c>
      <c r="F28">
        <v>21</v>
      </c>
    </row>
    <row r="29" spans="2:6">
      <c r="B29" s="98">
        <v>107007989</v>
      </c>
      <c r="C29">
        <v>50020561</v>
      </c>
      <c r="D29">
        <v>5</v>
      </c>
      <c r="E29" s="595" t="s">
        <v>923</v>
      </c>
      <c r="F29">
        <v>30</v>
      </c>
    </row>
    <row r="30" spans="2:6">
      <c r="B30" s="98">
        <v>107051745</v>
      </c>
      <c r="C30">
        <v>50020561</v>
      </c>
      <c r="D30">
        <v>4</v>
      </c>
      <c r="E30" s="595" t="s">
        <v>924</v>
      </c>
      <c r="F30">
        <v>23</v>
      </c>
    </row>
    <row r="31" spans="2:6">
      <c r="B31" s="98">
        <v>107220961</v>
      </c>
      <c r="C31">
        <v>50042993</v>
      </c>
      <c r="D31">
        <v>5</v>
      </c>
      <c r="E31" s="595" t="s">
        <v>925</v>
      </c>
      <c r="F31">
        <v>30</v>
      </c>
    </row>
    <row r="32" spans="2:6">
      <c r="B32" s="98">
        <v>107203016</v>
      </c>
      <c r="C32">
        <v>50020561</v>
      </c>
      <c r="D32">
        <v>4</v>
      </c>
      <c r="E32" s="595" t="s">
        <v>926</v>
      </c>
      <c r="F32">
        <v>30</v>
      </c>
    </row>
    <row r="33" spans="2:6">
      <c r="B33" s="98">
        <v>107272557</v>
      </c>
      <c r="C33">
        <v>50020561</v>
      </c>
      <c r="D33">
        <v>4</v>
      </c>
      <c r="E33" s="595" t="s">
        <v>927</v>
      </c>
      <c r="F33">
        <v>30</v>
      </c>
    </row>
    <row r="34" spans="2:6">
      <c r="B34" s="98">
        <v>107416680</v>
      </c>
      <c r="C34">
        <v>50020561</v>
      </c>
      <c r="D34">
        <v>3</v>
      </c>
      <c r="E34" s="595" t="s">
        <v>928</v>
      </c>
      <c r="F34">
        <v>25</v>
      </c>
    </row>
    <row r="35" spans="2:6">
      <c r="B35" s="98">
        <v>107447464</v>
      </c>
      <c r="C35">
        <v>50020561</v>
      </c>
      <c r="D35">
        <v>5</v>
      </c>
      <c r="E35" s="595" t="s">
        <v>929</v>
      </c>
      <c r="F35">
        <v>21</v>
      </c>
    </row>
    <row r="36" spans="2:6">
      <c r="B36" s="98">
        <v>107468744</v>
      </c>
      <c r="C36">
        <v>50020561</v>
      </c>
      <c r="D36">
        <v>5</v>
      </c>
      <c r="E36" s="595" t="s">
        <v>930</v>
      </c>
      <c r="F36">
        <v>21</v>
      </c>
    </row>
    <row r="37" spans="2:6">
      <c r="B37" s="98">
        <v>107529695</v>
      </c>
      <c r="C37">
        <v>50042993</v>
      </c>
      <c r="D37">
        <v>5</v>
      </c>
      <c r="E37" s="595" t="s">
        <v>931</v>
      </c>
      <c r="F37">
        <v>21</v>
      </c>
    </row>
    <row r="38" spans="2:6">
      <c r="B38" s="98">
        <v>107495942</v>
      </c>
      <c r="C38">
        <v>50020561</v>
      </c>
      <c r="D38">
        <v>5</v>
      </c>
      <c r="E38" s="595" t="s">
        <v>932</v>
      </c>
      <c r="F38">
        <v>30</v>
      </c>
    </row>
    <row r="39" spans="2:6">
      <c r="B39" s="98">
        <v>107526751</v>
      </c>
      <c r="C39">
        <v>50020561</v>
      </c>
      <c r="D39">
        <v>4</v>
      </c>
      <c r="E39" s="595" t="s">
        <v>933</v>
      </c>
      <c r="F39">
        <v>23</v>
      </c>
    </row>
    <row r="40" spans="2:6">
      <c r="B40" s="98">
        <v>107535374</v>
      </c>
      <c r="C40">
        <v>50020561</v>
      </c>
      <c r="D40">
        <v>5</v>
      </c>
      <c r="E40" s="595" t="s">
        <v>934</v>
      </c>
      <c r="F40">
        <v>24</v>
      </c>
    </row>
    <row r="41" spans="2:6">
      <c r="B41" s="98">
        <v>107555301</v>
      </c>
      <c r="C41">
        <v>50020561</v>
      </c>
      <c r="D41">
        <v>5</v>
      </c>
      <c r="E41" t="s">
        <v>935</v>
      </c>
      <c r="F41">
        <v>24</v>
      </c>
    </row>
    <row r="42" spans="2:6">
      <c r="B42" s="98">
        <v>107667864</v>
      </c>
      <c r="C42">
        <v>50020561</v>
      </c>
      <c r="D42">
        <v>5</v>
      </c>
      <c r="E42" t="s">
        <v>936</v>
      </c>
      <c r="F42">
        <v>21</v>
      </c>
    </row>
    <row r="43" spans="2:6">
      <c r="B43" s="98">
        <v>107713399</v>
      </c>
      <c r="C43">
        <v>50020561</v>
      </c>
      <c r="D43">
        <v>5</v>
      </c>
      <c r="E43" t="s">
        <v>937</v>
      </c>
      <c r="F43">
        <v>21</v>
      </c>
    </row>
    <row r="44" spans="2:6">
      <c r="B44" s="98">
        <v>107702985</v>
      </c>
      <c r="C44">
        <v>50020561</v>
      </c>
      <c r="D44">
        <v>4</v>
      </c>
      <c r="E44" t="s">
        <v>938</v>
      </c>
      <c r="F44">
        <v>30</v>
      </c>
    </row>
    <row r="45" spans="2:6">
      <c r="B45" s="98">
        <v>107802051</v>
      </c>
      <c r="C45">
        <v>50042993</v>
      </c>
      <c r="D45">
        <v>5</v>
      </c>
      <c r="E45" t="s">
        <v>939</v>
      </c>
      <c r="F45">
        <v>24</v>
      </c>
    </row>
    <row r="46" spans="2:6">
      <c r="B46" s="98">
        <v>107805343</v>
      </c>
      <c r="C46">
        <v>50020561</v>
      </c>
      <c r="D46">
        <v>5</v>
      </c>
      <c r="E46" t="s">
        <v>940</v>
      </c>
      <c r="F46">
        <v>28</v>
      </c>
    </row>
    <row r="47" spans="2:6">
      <c r="B47" s="98">
        <v>107813734</v>
      </c>
      <c r="C47">
        <v>50020561</v>
      </c>
      <c r="D47">
        <v>5</v>
      </c>
      <c r="E47" t="s">
        <v>941</v>
      </c>
      <c r="F47">
        <v>30</v>
      </c>
    </row>
    <row r="48" spans="2:6">
      <c r="B48" s="98">
        <v>107845703</v>
      </c>
      <c r="C48">
        <v>50042993</v>
      </c>
      <c r="D48">
        <v>5</v>
      </c>
      <c r="E48" t="s">
        <v>942</v>
      </c>
      <c r="F48">
        <v>30</v>
      </c>
    </row>
    <row r="49" spans="2:6">
      <c r="B49" s="98">
        <v>107986965</v>
      </c>
      <c r="C49">
        <v>50042993</v>
      </c>
      <c r="D49">
        <v>5</v>
      </c>
      <c r="E49" t="s">
        <v>943</v>
      </c>
      <c r="F49">
        <v>21</v>
      </c>
    </row>
    <row r="50" spans="2:6">
      <c r="B50" s="98">
        <v>108048149</v>
      </c>
      <c r="C50">
        <v>50020561</v>
      </c>
      <c r="D50">
        <v>5</v>
      </c>
      <c r="E50" t="s">
        <v>944</v>
      </c>
      <c r="F50">
        <v>23</v>
      </c>
    </row>
    <row r="51" spans="2:6">
      <c r="B51" s="98">
        <v>108071192</v>
      </c>
      <c r="C51">
        <v>50042993</v>
      </c>
      <c r="D51">
        <v>5</v>
      </c>
      <c r="E51" t="s">
        <v>945</v>
      </c>
      <c r="F51">
        <v>21</v>
      </c>
    </row>
    <row r="52" spans="2:6">
      <c r="B52" s="98">
        <v>108264224</v>
      </c>
      <c r="C52">
        <v>50042993</v>
      </c>
      <c r="D52">
        <v>4</v>
      </c>
      <c r="E52" t="s">
        <v>946</v>
      </c>
      <c r="F52">
        <v>27</v>
      </c>
    </row>
    <row r="53" spans="2:6">
      <c r="B53" s="98">
        <v>108278028</v>
      </c>
      <c r="C53">
        <v>50042993</v>
      </c>
      <c r="D53">
        <v>5</v>
      </c>
      <c r="E53" t="s">
        <v>947</v>
      </c>
      <c r="F53">
        <v>30</v>
      </c>
    </row>
    <row r="54" spans="2:6">
      <c r="B54" s="98">
        <v>108527871</v>
      </c>
      <c r="C54">
        <v>50020561</v>
      </c>
      <c r="D54">
        <v>3</v>
      </c>
      <c r="E54" t="s">
        <v>948</v>
      </c>
      <c r="F54">
        <v>2</v>
      </c>
    </row>
    <row r="55" spans="2:6">
      <c r="B55" s="98">
        <v>108604168</v>
      </c>
      <c r="C55">
        <v>50042993</v>
      </c>
      <c r="D55">
        <v>5</v>
      </c>
      <c r="E55" t="s">
        <v>949</v>
      </c>
      <c r="F55">
        <v>30</v>
      </c>
    </row>
  </sheetData>
  <sheetProtection formatCells="0" formatColumns="0" formatRows="0"/>
  <mergeCells count="4">
    <mergeCell ref="B2:F2"/>
    <mergeCell ref="I2:Q2"/>
    <mergeCell ref="J3:Q3"/>
    <mergeCell ref="J4:Q4"/>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B58AF3-05DE-4F83-BFBF-F58C5C46C343}">
  <sheetPr codeName="Sheet7"/>
  <dimension ref="A1:K9"/>
  <sheetViews>
    <sheetView workbookViewId="0">
      <selection activeCell="J1" sqref="J1:K1048576"/>
    </sheetView>
  </sheetViews>
  <sheetFormatPr defaultRowHeight="14.4"/>
  <cols>
    <col min="10" max="10" width="12.68359375" bestFit="1" customWidth="1"/>
    <col min="11" max="11" width="9.5234375" bestFit="1" customWidth="1"/>
  </cols>
  <sheetData>
    <row r="1" spans="1:11">
      <c r="A1" t="s">
        <v>187</v>
      </c>
      <c r="B1" t="s">
        <v>950</v>
      </c>
      <c r="C1" t="s">
        <v>553</v>
      </c>
      <c r="D1" t="s">
        <v>742</v>
      </c>
      <c r="E1" t="s">
        <v>951</v>
      </c>
      <c r="F1" t="s">
        <v>952</v>
      </c>
      <c r="G1" t="s">
        <v>143</v>
      </c>
      <c r="H1" t="s">
        <v>149</v>
      </c>
      <c r="I1" t="s">
        <v>953</v>
      </c>
      <c r="J1" t="s">
        <v>954</v>
      </c>
      <c r="K1" t="s">
        <v>955</v>
      </c>
    </row>
    <row r="2" spans="1:11">
      <c r="A2" t="s">
        <v>956</v>
      </c>
      <c r="B2">
        <v>63</v>
      </c>
      <c r="C2">
        <v>8</v>
      </c>
      <c r="D2" t="s">
        <v>957</v>
      </c>
      <c r="F2" t="s">
        <v>958</v>
      </c>
      <c r="G2" t="s">
        <v>959</v>
      </c>
      <c r="H2">
        <v>9.7494870000000002</v>
      </c>
      <c r="I2">
        <v>150</v>
      </c>
      <c r="J2" t="s">
        <v>960</v>
      </c>
      <c r="K2">
        <v>40001905</v>
      </c>
    </row>
    <row r="3" spans="1:11">
      <c r="A3" t="s">
        <v>956</v>
      </c>
      <c r="B3">
        <v>63</v>
      </c>
      <c r="C3">
        <v>8</v>
      </c>
      <c r="D3" t="s">
        <v>957</v>
      </c>
      <c r="F3" t="s">
        <v>958</v>
      </c>
      <c r="G3" t="s">
        <v>959</v>
      </c>
      <c r="H3">
        <v>9.7494870000000002</v>
      </c>
      <c r="I3">
        <v>150</v>
      </c>
      <c r="J3" t="s">
        <v>961</v>
      </c>
      <c r="K3">
        <v>40001309</v>
      </c>
    </row>
    <row r="4" spans="1:11">
      <c r="A4" t="s">
        <v>956</v>
      </c>
      <c r="B4">
        <v>63</v>
      </c>
      <c r="C4">
        <v>8</v>
      </c>
      <c r="D4" t="s">
        <v>957</v>
      </c>
      <c r="F4" t="s">
        <v>958</v>
      </c>
      <c r="G4" t="s">
        <v>959</v>
      </c>
      <c r="H4">
        <v>9.7494870000000002</v>
      </c>
      <c r="I4">
        <v>150</v>
      </c>
      <c r="J4" t="s">
        <v>962</v>
      </c>
      <c r="K4">
        <v>40001205</v>
      </c>
    </row>
    <row r="5" spans="1:11">
      <c r="A5" t="s">
        <v>956</v>
      </c>
      <c r="B5">
        <v>63</v>
      </c>
      <c r="C5">
        <v>8</v>
      </c>
      <c r="D5" t="s">
        <v>957</v>
      </c>
      <c r="F5" t="s">
        <v>958</v>
      </c>
      <c r="G5" t="s">
        <v>959</v>
      </c>
      <c r="H5">
        <v>9.7494870000000002</v>
      </c>
      <c r="I5">
        <v>150</v>
      </c>
      <c r="J5" t="s">
        <v>963</v>
      </c>
      <c r="K5">
        <v>50002562</v>
      </c>
    </row>
    <row r="6" spans="1:11">
      <c r="A6" t="s">
        <v>956</v>
      </c>
      <c r="B6">
        <v>63</v>
      </c>
      <c r="C6">
        <v>8</v>
      </c>
      <c r="D6" t="s">
        <v>957</v>
      </c>
      <c r="F6" t="s">
        <v>958</v>
      </c>
      <c r="G6" t="s">
        <v>959</v>
      </c>
      <c r="H6">
        <v>9.7494870000000002</v>
      </c>
      <c r="I6">
        <v>150</v>
      </c>
      <c r="J6" t="s">
        <v>964</v>
      </c>
      <c r="K6">
        <v>50040588</v>
      </c>
    </row>
    <row r="7" spans="1:11">
      <c r="A7" t="s">
        <v>956</v>
      </c>
      <c r="B7">
        <v>63</v>
      </c>
      <c r="C7">
        <v>8</v>
      </c>
      <c r="D7" t="s">
        <v>957</v>
      </c>
      <c r="F7" t="s">
        <v>958</v>
      </c>
      <c r="G7" t="s">
        <v>959</v>
      </c>
      <c r="H7">
        <v>9.7494870000000002</v>
      </c>
      <c r="I7">
        <v>150</v>
      </c>
      <c r="J7" t="s">
        <v>965</v>
      </c>
      <c r="K7">
        <v>50020561</v>
      </c>
    </row>
    <row r="8" spans="1:11">
      <c r="A8" t="s">
        <v>956</v>
      </c>
      <c r="B8">
        <v>63</v>
      </c>
      <c r="C8">
        <v>8</v>
      </c>
      <c r="D8" t="s">
        <v>957</v>
      </c>
      <c r="F8" t="s">
        <v>958</v>
      </c>
      <c r="G8" t="s">
        <v>959</v>
      </c>
      <c r="H8">
        <v>9.7494870000000002</v>
      </c>
      <c r="I8">
        <v>150</v>
      </c>
      <c r="J8" t="s">
        <v>966</v>
      </c>
      <c r="K8">
        <v>50016604</v>
      </c>
    </row>
    <row r="9" spans="1:11">
      <c r="A9" t="s">
        <v>956</v>
      </c>
      <c r="B9">
        <v>63</v>
      </c>
      <c r="C9">
        <v>8</v>
      </c>
      <c r="D9" t="s">
        <v>957</v>
      </c>
      <c r="F9" t="s">
        <v>958</v>
      </c>
      <c r="G9" t="s">
        <v>959</v>
      </c>
      <c r="H9">
        <v>9.7494870000000002</v>
      </c>
      <c r="I9">
        <v>150</v>
      </c>
      <c r="J9" t="s">
        <v>967</v>
      </c>
      <c r="K9">
        <v>50042993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BF6F8E-A9DF-42AF-97FF-CD1E21E3E817}">
  <sheetPr codeName="Sheet8"/>
  <dimension ref="A1:S1215"/>
  <sheetViews>
    <sheetView workbookViewId="0"/>
  </sheetViews>
  <sheetFormatPr defaultRowHeight="14.4"/>
  <sheetData>
    <row r="1" spans="1:19">
      <c r="A1" t="s">
        <v>742</v>
      </c>
      <c r="B1" t="s">
        <v>743</v>
      </c>
      <c r="C1" t="s">
        <v>744</v>
      </c>
      <c r="D1" t="s">
        <v>745</v>
      </c>
      <c r="E1" t="s">
        <v>746</v>
      </c>
      <c r="F1" t="s">
        <v>747</v>
      </c>
      <c r="G1" t="s">
        <v>748</v>
      </c>
      <c r="H1" t="s">
        <v>749</v>
      </c>
      <c r="I1" t="s">
        <v>750</v>
      </c>
      <c r="J1" t="s">
        <v>0</v>
      </c>
      <c r="K1" t="s">
        <v>1</v>
      </c>
      <c r="L1" t="s">
        <v>2</v>
      </c>
      <c r="M1" t="s">
        <v>3</v>
      </c>
      <c r="N1" t="s">
        <v>4</v>
      </c>
      <c r="O1" t="s">
        <v>5</v>
      </c>
      <c r="P1" t="s">
        <v>6</v>
      </c>
      <c r="Q1" t="s">
        <v>751</v>
      </c>
      <c r="R1" t="s">
        <v>752</v>
      </c>
      <c r="S1" t="s">
        <v>753</v>
      </c>
    </row>
    <row r="2" spans="1:19">
      <c r="A2" t="s">
        <v>754</v>
      </c>
      <c r="B2" t="s">
        <v>968</v>
      </c>
      <c r="C2">
        <v>0</v>
      </c>
      <c r="E2" t="s">
        <v>962</v>
      </c>
      <c r="F2" t="s">
        <v>969</v>
      </c>
      <c r="G2" t="s">
        <v>968</v>
      </c>
      <c r="H2">
        <v>7.75</v>
      </c>
      <c r="J2">
        <v>107453105</v>
      </c>
      <c r="K2" s="2">
        <v>45176</v>
      </c>
      <c r="L2">
        <v>21</v>
      </c>
      <c r="M2">
        <v>1</v>
      </c>
      <c r="N2">
        <v>7</v>
      </c>
      <c r="O2">
        <v>1</v>
      </c>
      <c r="P2" t="s">
        <v>3</v>
      </c>
    </row>
    <row r="3" spans="1:19">
      <c r="A3" t="s">
        <v>970</v>
      </c>
      <c r="B3" t="s">
        <v>965</v>
      </c>
      <c r="C3">
        <v>9.6000000000000002E-2</v>
      </c>
      <c r="D3" t="s">
        <v>758</v>
      </c>
      <c r="E3" t="s">
        <v>971</v>
      </c>
      <c r="F3" t="s">
        <v>972</v>
      </c>
      <c r="G3" t="s">
        <v>962</v>
      </c>
      <c r="H3">
        <v>0.94499999999999995</v>
      </c>
      <c r="J3">
        <v>107446399</v>
      </c>
      <c r="K3" s="2">
        <v>45171</v>
      </c>
      <c r="L3">
        <v>17</v>
      </c>
      <c r="M3">
        <v>1</v>
      </c>
      <c r="N3">
        <v>0</v>
      </c>
      <c r="O3">
        <v>1</v>
      </c>
      <c r="P3" t="s">
        <v>7</v>
      </c>
    </row>
    <row r="4" spans="1:19">
      <c r="A4" t="s">
        <v>970</v>
      </c>
      <c r="B4" t="s">
        <v>973</v>
      </c>
      <c r="C4">
        <v>1.2999999999999999E-2</v>
      </c>
      <c r="D4" t="s">
        <v>6</v>
      </c>
      <c r="E4" t="s">
        <v>965</v>
      </c>
      <c r="F4" t="s">
        <v>974</v>
      </c>
      <c r="G4" t="s">
        <v>973</v>
      </c>
      <c r="H4">
        <v>6.7889999999999997</v>
      </c>
      <c r="J4">
        <v>108208349</v>
      </c>
      <c r="K4" s="2">
        <v>45889</v>
      </c>
      <c r="L4">
        <v>21</v>
      </c>
      <c r="M4">
        <v>1</v>
      </c>
      <c r="N4">
        <v>7</v>
      </c>
      <c r="O4">
        <v>1</v>
      </c>
      <c r="P4" t="s">
        <v>7</v>
      </c>
    </row>
    <row r="5" spans="1:19">
      <c r="A5" t="s">
        <v>754</v>
      </c>
      <c r="B5" t="s">
        <v>962</v>
      </c>
      <c r="C5">
        <v>0.19</v>
      </c>
      <c r="D5" t="s">
        <v>758</v>
      </c>
      <c r="E5" t="s">
        <v>968</v>
      </c>
      <c r="F5" t="s">
        <v>975</v>
      </c>
      <c r="G5" t="s">
        <v>962</v>
      </c>
      <c r="H5">
        <v>2.0019999999999998</v>
      </c>
      <c r="J5">
        <v>108530662</v>
      </c>
      <c r="K5" s="2">
        <v>46185</v>
      </c>
      <c r="L5">
        <v>21</v>
      </c>
      <c r="M5">
        <v>1</v>
      </c>
      <c r="N5">
        <v>0</v>
      </c>
      <c r="O5">
        <v>1</v>
      </c>
      <c r="P5" t="s">
        <v>7</v>
      </c>
      <c r="Q5">
        <v>35.176990000000004</v>
      </c>
      <c r="R5">
        <v>-79.434970000000007</v>
      </c>
      <c r="S5" t="s">
        <v>755</v>
      </c>
    </row>
    <row r="6" spans="1:19">
      <c r="A6" t="s">
        <v>970</v>
      </c>
      <c r="B6" t="s">
        <v>965</v>
      </c>
      <c r="C6">
        <v>0.18</v>
      </c>
      <c r="D6" t="s">
        <v>756</v>
      </c>
      <c r="E6" t="s">
        <v>973</v>
      </c>
      <c r="F6" t="s">
        <v>976</v>
      </c>
      <c r="G6" t="s">
        <v>962</v>
      </c>
      <c r="H6">
        <v>0.18</v>
      </c>
      <c r="J6">
        <v>107465196</v>
      </c>
      <c r="K6" s="2">
        <v>45189</v>
      </c>
      <c r="L6">
        <v>1</v>
      </c>
      <c r="M6">
        <v>1</v>
      </c>
      <c r="N6">
        <v>0</v>
      </c>
      <c r="O6">
        <v>1</v>
      </c>
      <c r="P6" t="s">
        <v>7</v>
      </c>
    </row>
    <row r="7" spans="1:19">
      <c r="A7" t="s">
        <v>970</v>
      </c>
      <c r="B7" t="s">
        <v>962</v>
      </c>
      <c r="C7">
        <v>0.1</v>
      </c>
      <c r="D7" t="s">
        <v>756</v>
      </c>
      <c r="E7" t="s">
        <v>968</v>
      </c>
      <c r="F7" t="s">
        <v>977</v>
      </c>
      <c r="G7" t="s">
        <v>962</v>
      </c>
      <c r="H7">
        <v>2.1920000000000002</v>
      </c>
      <c r="J7">
        <v>108101869</v>
      </c>
      <c r="K7" s="2">
        <v>45783</v>
      </c>
      <c r="L7">
        <v>28</v>
      </c>
      <c r="M7">
        <v>1</v>
      </c>
      <c r="N7">
        <v>0</v>
      </c>
      <c r="O7">
        <v>1</v>
      </c>
      <c r="P7" t="s">
        <v>7</v>
      </c>
      <c r="Q7">
        <v>35.177053000000001</v>
      </c>
      <c r="R7">
        <v>-79.43338</v>
      </c>
      <c r="S7" t="s">
        <v>761</v>
      </c>
    </row>
    <row r="8" spans="1:19">
      <c r="A8" t="s">
        <v>970</v>
      </c>
      <c r="B8" t="s">
        <v>978</v>
      </c>
      <c r="C8">
        <v>2.8000000000000001E-2</v>
      </c>
      <c r="D8" t="s">
        <v>6</v>
      </c>
      <c r="E8" t="s">
        <v>965</v>
      </c>
      <c r="F8" t="s">
        <v>978</v>
      </c>
      <c r="H8">
        <v>999.99900000000002</v>
      </c>
      <c r="J8">
        <v>107543211</v>
      </c>
      <c r="K8" s="2">
        <v>45258</v>
      </c>
      <c r="L8">
        <v>19</v>
      </c>
      <c r="M8">
        <v>1</v>
      </c>
      <c r="N8">
        <v>0</v>
      </c>
      <c r="O8">
        <v>1</v>
      </c>
      <c r="P8" t="s">
        <v>7</v>
      </c>
      <c r="Q8">
        <v>35.176637999999997</v>
      </c>
      <c r="R8">
        <v>-79.440675999999996</v>
      </c>
      <c r="S8" t="s">
        <v>760</v>
      </c>
    </row>
    <row r="9" spans="1:19">
      <c r="A9" t="s">
        <v>754</v>
      </c>
      <c r="B9" t="s">
        <v>962</v>
      </c>
      <c r="C9">
        <v>0</v>
      </c>
      <c r="E9" t="s">
        <v>968</v>
      </c>
      <c r="F9" t="s">
        <v>979</v>
      </c>
      <c r="G9" t="s">
        <v>962</v>
      </c>
      <c r="H9">
        <v>2.1920000000000002</v>
      </c>
      <c r="J9">
        <v>107313737</v>
      </c>
      <c r="K9" s="2">
        <v>45030</v>
      </c>
      <c r="L9">
        <v>26</v>
      </c>
      <c r="M9">
        <v>2</v>
      </c>
      <c r="N9">
        <v>7</v>
      </c>
      <c r="O9">
        <v>1</v>
      </c>
      <c r="P9" t="s">
        <v>7</v>
      </c>
    </row>
    <row r="10" spans="1:19">
      <c r="A10" t="s">
        <v>970</v>
      </c>
      <c r="B10" t="s">
        <v>965</v>
      </c>
      <c r="C10">
        <v>0.08</v>
      </c>
      <c r="D10" t="s">
        <v>758</v>
      </c>
      <c r="E10" t="s">
        <v>980</v>
      </c>
      <c r="F10" t="s">
        <v>981</v>
      </c>
      <c r="G10" t="s">
        <v>962</v>
      </c>
      <c r="H10">
        <v>1.6319999999999999</v>
      </c>
      <c r="J10">
        <v>107599962</v>
      </c>
      <c r="K10" s="2">
        <v>45309</v>
      </c>
      <c r="L10">
        <v>2</v>
      </c>
      <c r="M10">
        <v>1</v>
      </c>
      <c r="N10">
        <v>14</v>
      </c>
      <c r="O10">
        <v>1</v>
      </c>
      <c r="P10" t="s">
        <v>7</v>
      </c>
    </row>
    <row r="11" spans="1:19">
      <c r="A11" t="s">
        <v>970</v>
      </c>
      <c r="B11" t="s">
        <v>973</v>
      </c>
      <c r="C11">
        <v>0</v>
      </c>
      <c r="E11" t="s">
        <v>965</v>
      </c>
      <c r="F11" t="s">
        <v>976</v>
      </c>
      <c r="G11" t="s">
        <v>973</v>
      </c>
      <c r="H11">
        <v>6.8019999999999996</v>
      </c>
      <c r="J11">
        <v>107471708</v>
      </c>
      <c r="K11" s="2">
        <v>45197</v>
      </c>
      <c r="L11">
        <v>30</v>
      </c>
      <c r="M11">
        <v>1</v>
      </c>
      <c r="N11">
        <v>7</v>
      </c>
      <c r="O11">
        <v>1</v>
      </c>
      <c r="P11" t="s">
        <v>3</v>
      </c>
    </row>
    <row r="12" spans="1:19">
      <c r="A12" t="s">
        <v>970</v>
      </c>
      <c r="B12" t="s">
        <v>973</v>
      </c>
      <c r="C12">
        <v>0</v>
      </c>
      <c r="E12" t="s">
        <v>965</v>
      </c>
      <c r="F12" t="s">
        <v>974</v>
      </c>
      <c r="G12" t="s">
        <v>973</v>
      </c>
      <c r="H12">
        <v>6.8019999999999996</v>
      </c>
      <c r="J12">
        <v>108185378</v>
      </c>
      <c r="K12" s="2">
        <v>45866</v>
      </c>
      <c r="L12">
        <v>21</v>
      </c>
      <c r="M12">
        <v>1</v>
      </c>
      <c r="N12">
        <v>8</v>
      </c>
      <c r="O12">
        <v>1</v>
      </c>
      <c r="P12" t="s">
        <v>7</v>
      </c>
    </row>
    <row r="13" spans="1:19">
      <c r="A13" t="s">
        <v>970</v>
      </c>
      <c r="B13" t="s">
        <v>965</v>
      </c>
      <c r="C13">
        <v>0</v>
      </c>
      <c r="E13" t="s">
        <v>972</v>
      </c>
      <c r="F13" t="s">
        <v>982</v>
      </c>
      <c r="G13" t="s">
        <v>962</v>
      </c>
      <c r="H13">
        <v>1.331</v>
      </c>
      <c r="J13">
        <v>105108562</v>
      </c>
      <c r="K13" s="2">
        <v>42878</v>
      </c>
      <c r="L13">
        <v>2</v>
      </c>
      <c r="M13">
        <v>2</v>
      </c>
      <c r="N13">
        <v>0</v>
      </c>
      <c r="O13">
        <v>5</v>
      </c>
      <c r="P13" t="s">
        <v>7</v>
      </c>
    </row>
    <row r="14" spans="1:19">
      <c r="A14" t="s">
        <v>970</v>
      </c>
      <c r="B14" t="s">
        <v>965</v>
      </c>
      <c r="C14">
        <v>0.2</v>
      </c>
      <c r="D14" t="s">
        <v>756</v>
      </c>
      <c r="E14" t="s">
        <v>976</v>
      </c>
      <c r="F14" t="s">
        <v>983</v>
      </c>
      <c r="G14" t="s">
        <v>962</v>
      </c>
      <c r="H14">
        <v>0.79100000000000004</v>
      </c>
      <c r="J14">
        <v>105035818</v>
      </c>
      <c r="K14" s="2">
        <v>42806</v>
      </c>
      <c r="L14">
        <v>1</v>
      </c>
      <c r="M14">
        <v>2</v>
      </c>
      <c r="N14">
        <v>0</v>
      </c>
      <c r="O14">
        <v>1</v>
      </c>
      <c r="P14" t="s">
        <v>7</v>
      </c>
    </row>
    <row r="15" spans="1:19">
      <c r="A15" t="s">
        <v>970</v>
      </c>
      <c r="B15" t="s">
        <v>965</v>
      </c>
      <c r="C15">
        <v>0</v>
      </c>
      <c r="E15" t="s">
        <v>984</v>
      </c>
      <c r="F15" t="s">
        <v>985</v>
      </c>
      <c r="H15">
        <v>999.99900000000002</v>
      </c>
      <c r="J15">
        <v>107814414</v>
      </c>
      <c r="K15" s="2">
        <v>45512</v>
      </c>
      <c r="L15">
        <v>30</v>
      </c>
      <c r="M15">
        <v>2</v>
      </c>
      <c r="N15">
        <v>0</v>
      </c>
      <c r="O15">
        <v>1</v>
      </c>
      <c r="P15" t="s">
        <v>7</v>
      </c>
    </row>
    <row r="16" spans="1:19">
      <c r="A16" t="s">
        <v>970</v>
      </c>
      <c r="B16" t="s">
        <v>965</v>
      </c>
      <c r="C16">
        <v>0</v>
      </c>
      <c r="E16" t="s">
        <v>976</v>
      </c>
      <c r="F16" t="s">
        <v>973</v>
      </c>
      <c r="G16" t="s">
        <v>962</v>
      </c>
      <c r="H16">
        <v>0.59099999999999997</v>
      </c>
      <c r="J16">
        <v>105013789</v>
      </c>
      <c r="K16" s="2">
        <v>42785</v>
      </c>
      <c r="L16">
        <v>29</v>
      </c>
      <c r="M16">
        <v>1</v>
      </c>
      <c r="N16">
        <v>8</v>
      </c>
      <c r="O16">
        <v>5</v>
      </c>
      <c r="P16" t="s">
        <v>7</v>
      </c>
    </row>
    <row r="17" spans="1:19">
      <c r="A17" t="s">
        <v>970</v>
      </c>
      <c r="B17" t="s">
        <v>973</v>
      </c>
      <c r="C17">
        <v>0</v>
      </c>
      <c r="E17" t="s">
        <v>965</v>
      </c>
      <c r="F17" t="s">
        <v>969</v>
      </c>
      <c r="G17" t="s">
        <v>973</v>
      </c>
      <c r="H17">
        <v>6.8019999999999996</v>
      </c>
      <c r="J17">
        <v>105100516</v>
      </c>
      <c r="K17" s="2">
        <v>42871</v>
      </c>
      <c r="L17">
        <v>26</v>
      </c>
      <c r="M17">
        <v>1</v>
      </c>
      <c r="N17">
        <v>8</v>
      </c>
      <c r="O17">
        <v>1</v>
      </c>
      <c r="P17" t="s">
        <v>7</v>
      </c>
    </row>
    <row r="18" spans="1:19">
      <c r="A18" t="s">
        <v>754</v>
      </c>
      <c r="B18" t="s">
        <v>962</v>
      </c>
      <c r="C18">
        <v>4.2999999999999997E-2</v>
      </c>
      <c r="D18" t="s">
        <v>758</v>
      </c>
      <c r="E18" t="s">
        <v>986</v>
      </c>
      <c r="F18" t="s">
        <v>975</v>
      </c>
      <c r="H18">
        <v>999.99900000000002</v>
      </c>
      <c r="J18">
        <v>105229332</v>
      </c>
      <c r="K18" s="2">
        <v>42999</v>
      </c>
      <c r="L18">
        <v>21</v>
      </c>
      <c r="M18">
        <v>1</v>
      </c>
      <c r="N18">
        <v>0</v>
      </c>
      <c r="O18">
        <v>1</v>
      </c>
      <c r="P18" t="s">
        <v>3</v>
      </c>
    </row>
    <row r="19" spans="1:19">
      <c r="A19" t="s">
        <v>970</v>
      </c>
      <c r="B19" t="s">
        <v>965</v>
      </c>
      <c r="C19">
        <v>5.7000000000000002E-2</v>
      </c>
      <c r="D19" t="s">
        <v>758</v>
      </c>
      <c r="E19" t="s">
        <v>975</v>
      </c>
      <c r="F19" t="s">
        <v>987</v>
      </c>
      <c r="G19" t="s">
        <v>962</v>
      </c>
      <c r="H19">
        <v>1.845</v>
      </c>
      <c r="J19">
        <v>105258060</v>
      </c>
      <c r="K19" s="2">
        <v>43026</v>
      </c>
      <c r="L19">
        <v>17</v>
      </c>
      <c r="M19">
        <v>1</v>
      </c>
      <c r="N19">
        <v>0</v>
      </c>
      <c r="O19">
        <v>1</v>
      </c>
    </row>
    <row r="20" spans="1:19">
      <c r="A20" t="s">
        <v>970</v>
      </c>
      <c r="B20" t="s">
        <v>973</v>
      </c>
      <c r="C20">
        <v>0</v>
      </c>
      <c r="E20" t="s">
        <v>965</v>
      </c>
      <c r="G20" t="s">
        <v>973</v>
      </c>
      <c r="H20">
        <v>6.8019999999999996</v>
      </c>
      <c r="J20">
        <v>105251652</v>
      </c>
      <c r="K20" s="2">
        <v>43021</v>
      </c>
      <c r="L20">
        <v>21</v>
      </c>
      <c r="M20">
        <v>1</v>
      </c>
      <c r="N20">
        <v>7</v>
      </c>
      <c r="O20">
        <v>1</v>
      </c>
      <c r="P20" t="s">
        <v>7</v>
      </c>
    </row>
    <row r="21" spans="1:19">
      <c r="A21" t="s">
        <v>970</v>
      </c>
      <c r="B21" t="s">
        <v>973</v>
      </c>
      <c r="C21">
        <v>1.4E-2</v>
      </c>
      <c r="D21" t="s">
        <v>757</v>
      </c>
      <c r="E21" t="s">
        <v>965</v>
      </c>
      <c r="F21" t="s">
        <v>988</v>
      </c>
      <c r="G21" t="s">
        <v>973</v>
      </c>
      <c r="H21">
        <v>6.8159999999999998</v>
      </c>
      <c r="J21">
        <v>105240776</v>
      </c>
      <c r="K21" s="2">
        <v>43014</v>
      </c>
      <c r="L21">
        <v>21</v>
      </c>
      <c r="M21">
        <v>1</v>
      </c>
      <c r="N21">
        <v>0</v>
      </c>
      <c r="O21">
        <v>1</v>
      </c>
      <c r="P21" t="s">
        <v>7</v>
      </c>
    </row>
    <row r="22" spans="1:19">
      <c r="A22" t="s">
        <v>754</v>
      </c>
      <c r="B22" t="s">
        <v>986</v>
      </c>
      <c r="C22">
        <v>0</v>
      </c>
      <c r="E22" t="s">
        <v>962</v>
      </c>
      <c r="F22" t="s">
        <v>968</v>
      </c>
      <c r="H22">
        <v>999.99900000000002</v>
      </c>
      <c r="J22">
        <v>105338829</v>
      </c>
      <c r="K22" s="2">
        <v>43088</v>
      </c>
      <c r="L22">
        <v>30</v>
      </c>
      <c r="M22">
        <v>1</v>
      </c>
      <c r="N22">
        <v>8</v>
      </c>
      <c r="O22">
        <v>1</v>
      </c>
      <c r="P22" t="s">
        <v>7</v>
      </c>
    </row>
    <row r="23" spans="1:19">
      <c r="A23" t="s">
        <v>970</v>
      </c>
      <c r="B23" t="s">
        <v>965</v>
      </c>
      <c r="C23">
        <v>0</v>
      </c>
      <c r="E23" t="s">
        <v>989</v>
      </c>
      <c r="H23">
        <v>999.99900000000002</v>
      </c>
      <c r="J23">
        <v>105335592</v>
      </c>
      <c r="K23" s="2">
        <v>43083</v>
      </c>
      <c r="L23">
        <v>30</v>
      </c>
      <c r="M23">
        <v>1</v>
      </c>
      <c r="N23">
        <v>0</v>
      </c>
      <c r="O23">
        <v>1</v>
      </c>
      <c r="P23" t="s">
        <v>7</v>
      </c>
    </row>
    <row r="24" spans="1:19">
      <c r="A24" t="s">
        <v>970</v>
      </c>
      <c r="B24" t="s">
        <v>973</v>
      </c>
      <c r="C24">
        <v>8.0000000000000002E-3</v>
      </c>
      <c r="D24" t="s">
        <v>6</v>
      </c>
      <c r="E24" t="s">
        <v>965</v>
      </c>
      <c r="F24" t="s">
        <v>974</v>
      </c>
      <c r="G24" t="s">
        <v>973</v>
      </c>
      <c r="H24">
        <v>6.7939999999999996</v>
      </c>
      <c r="J24">
        <v>105306041</v>
      </c>
      <c r="K24" s="2">
        <v>43070</v>
      </c>
      <c r="L24">
        <v>21</v>
      </c>
      <c r="M24">
        <v>1</v>
      </c>
      <c r="N24">
        <v>0</v>
      </c>
      <c r="O24">
        <v>1</v>
      </c>
      <c r="P24" t="s">
        <v>7</v>
      </c>
    </row>
    <row r="25" spans="1:19">
      <c r="A25" t="s">
        <v>970</v>
      </c>
      <c r="B25" t="s">
        <v>965</v>
      </c>
      <c r="C25">
        <v>1.4E-2</v>
      </c>
      <c r="D25" t="s">
        <v>756</v>
      </c>
      <c r="E25" t="s">
        <v>973</v>
      </c>
      <c r="F25" t="s">
        <v>976</v>
      </c>
      <c r="G25" t="s">
        <v>962</v>
      </c>
      <c r="H25">
        <v>1.4E-2</v>
      </c>
      <c r="J25">
        <v>105390828</v>
      </c>
      <c r="K25" s="2">
        <v>43154</v>
      </c>
      <c r="L25">
        <v>21</v>
      </c>
      <c r="M25">
        <v>1</v>
      </c>
      <c r="O25">
        <v>1</v>
      </c>
      <c r="P25" t="s">
        <v>3</v>
      </c>
    </row>
    <row r="26" spans="1:19">
      <c r="A26" t="s">
        <v>970</v>
      </c>
      <c r="B26" t="s">
        <v>965</v>
      </c>
      <c r="C26">
        <v>0.28000000000000003</v>
      </c>
      <c r="D26" t="s">
        <v>756</v>
      </c>
      <c r="E26" t="s">
        <v>971</v>
      </c>
      <c r="F26" t="s">
        <v>972</v>
      </c>
      <c r="G26" t="s">
        <v>962</v>
      </c>
      <c r="H26">
        <v>1.321</v>
      </c>
      <c r="J26">
        <v>105287302</v>
      </c>
      <c r="K26" s="2">
        <v>43052</v>
      </c>
      <c r="L26">
        <v>17</v>
      </c>
      <c r="M26">
        <v>1</v>
      </c>
      <c r="N26">
        <v>0</v>
      </c>
      <c r="O26">
        <v>5</v>
      </c>
      <c r="P26" t="s">
        <v>7</v>
      </c>
    </row>
    <row r="27" spans="1:19">
      <c r="A27" t="s">
        <v>970</v>
      </c>
      <c r="B27" t="s">
        <v>980</v>
      </c>
      <c r="C27">
        <v>0</v>
      </c>
      <c r="E27" t="s">
        <v>965</v>
      </c>
      <c r="F27" t="s">
        <v>981</v>
      </c>
      <c r="G27" t="s">
        <v>962</v>
      </c>
      <c r="H27">
        <v>1.712</v>
      </c>
      <c r="J27">
        <v>105567593</v>
      </c>
      <c r="K27" s="2">
        <v>43323</v>
      </c>
      <c r="L27">
        <v>19</v>
      </c>
      <c r="M27">
        <v>1</v>
      </c>
      <c r="N27">
        <v>8</v>
      </c>
      <c r="O27">
        <v>1</v>
      </c>
      <c r="P27" t="s">
        <v>7</v>
      </c>
    </row>
    <row r="28" spans="1:19">
      <c r="A28" t="s">
        <v>970</v>
      </c>
      <c r="B28" t="s">
        <v>965</v>
      </c>
      <c r="C28">
        <v>0</v>
      </c>
      <c r="E28" t="s">
        <v>973</v>
      </c>
      <c r="F28" t="s">
        <v>990</v>
      </c>
      <c r="G28" t="s">
        <v>962</v>
      </c>
      <c r="H28">
        <v>0</v>
      </c>
      <c r="J28">
        <v>105580820</v>
      </c>
      <c r="K28" s="2">
        <v>43336</v>
      </c>
      <c r="L28">
        <v>24</v>
      </c>
      <c r="M28">
        <v>1</v>
      </c>
      <c r="N28">
        <v>7</v>
      </c>
      <c r="O28">
        <v>2</v>
      </c>
      <c r="P28" t="s">
        <v>7</v>
      </c>
    </row>
    <row r="29" spans="1:19">
      <c r="A29" t="s">
        <v>970</v>
      </c>
      <c r="B29" t="s">
        <v>973</v>
      </c>
      <c r="C29">
        <v>1.4999999999999999E-2</v>
      </c>
      <c r="D29" t="s">
        <v>6</v>
      </c>
      <c r="E29" t="s">
        <v>965</v>
      </c>
      <c r="F29" t="s">
        <v>974</v>
      </c>
      <c r="G29" t="s">
        <v>973</v>
      </c>
      <c r="H29">
        <v>6.7869999999999999</v>
      </c>
      <c r="J29">
        <v>105599836</v>
      </c>
      <c r="K29" s="2">
        <v>43354</v>
      </c>
      <c r="L29">
        <v>21</v>
      </c>
      <c r="M29">
        <v>1</v>
      </c>
      <c r="N29">
        <v>0</v>
      </c>
      <c r="O29">
        <v>1</v>
      </c>
      <c r="P29" t="s">
        <v>7</v>
      </c>
    </row>
    <row r="30" spans="1:19">
      <c r="A30" t="s">
        <v>970</v>
      </c>
      <c r="B30" t="s">
        <v>973</v>
      </c>
      <c r="C30">
        <v>5.0000000000000001E-3</v>
      </c>
      <c r="D30" t="s">
        <v>6</v>
      </c>
      <c r="E30" t="s">
        <v>965</v>
      </c>
      <c r="F30" t="s">
        <v>974</v>
      </c>
      <c r="G30" t="s">
        <v>973</v>
      </c>
      <c r="H30">
        <v>6.7969999999999997</v>
      </c>
      <c r="J30">
        <v>105288749</v>
      </c>
      <c r="K30" s="2">
        <v>43046</v>
      </c>
      <c r="L30">
        <v>21</v>
      </c>
      <c r="M30">
        <v>1</v>
      </c>
      <c r="N30">
        <v>0</v>
      </c>
      <c r="O30">
        <v>1</v>
      </c>
      <c r="P30" t="s">
        <v>7</v>
      </c>
    </row>
    <row r="31" spans="1:19">
      <c r="A31" t="s">
        <v>970</v>
      </c>
      <c r="B31" t="s">
        <v>973</v>
      </c>
      <c r="C31">
        <v>8.9999999999999993E-3</v>
      </c>
      <c r="D31" t="s">
        <v>6</v>
      </c>
      <c r="E31" t="s">
        <v>965</v>
      </c>
      <c r="F31" t="s">
        <v>974</v>
      </c>
      <c r="G31" t="s">
        <v>973</v>
      </c>
      <c r="H31">
        <v>6.7930000000000001</v>
      </c>
      <c r="J31">
        <v>105416819</v>
      </c>
      <c r="K31" s="2">
        <v>43178</v>
      </c>
      <c r="L31">
        <v>21</v>
      </c>
      <c r="M31">
        <v>1</v>
      </c>
      <c r="N31">
        <v>0</v>
      </c>
      <c r="O31">
        <v>1</v>
      </c>
      <c r="P31" t="s">
        <v>7</v>
      </c>
    </row>
    <row r="32" spans="1:19">
      <c r="A32" t="s">
        <v>970</v>
      </c>
      <c r="B32" t="s">
        <v>965</v>
      </c>
      <c r="C32">
        <v>0</v>
      </c>
      <c r="E32" t="s">
        <v>971</v>
      </c>
      <c r="F32" t="s">
        <v>991</v>
      </c>
      <c r="G32" t="s">
        <v>962</v>
      </c>
      <c r="H32">
        <v>1.0409999999999999</v>
      </c>
      <c r="J32">
        <v>108575031</v>
      </c>
      <c r="K32" s="2">
        <v>46233</v>
      </c>
      <c r="L32">
        <v>23</v>
      </c>
      <c r="M32">
        <v>1</v>
      </c>
      <c r="N32">
        <v>7</v>
      </c>
      <c r="O32">
        <v>1</v>
      </c>
      <c r="P32" t="s">
        <v>3</v>
      </c>
      <c r="Q32">
        <v>35.180579999999999</v>
      </c>
      <c r="R32">
        <v>-79.451080000000005</v>
      </c>
      <c r="S32" t="s">
        <v>755</v>
      </c>
    </row>
    <row r="33" spans="1:16">
      <c r="A33" t="s">
        <v>970</v>
      </c>
      <c r="B33" t="s">
        <v>980</v>
      </c>
      <c r="C33">
        <v>3.0000000000000001E-3</v>
      </c>
      <c r="D33" t="s">
        <v>757</v>
      </c>
      <c r="E33" t="s">
        <v>965</v>
      </c>
      <c r="F33" t="s">
        <v>978</v>
      </c>
      <c r="H33">
        <v>999.99900000000002</v>
      </c>
      <c r="J33">
        <v>105004676</v>
      </c>
      <c r="K33" s="2">
        <v>42777</v>
      </c>
      <c r="L33">
        <v>19</v>
      </c>
      <c r="M33">
        <v>1</v>
      </c>
      <c r="N33">
        <v>8</v>
      </c>
      <c r="O33">
        <v>4</v>
      </c>
      <c r="P33" t="s">
        <v>7</v>
      </c>
    </row>
    <row r="34" spans="1:16">
      <c r="A34" t="s">
        <v>970</v>
      </c>
      <c r="B34" t="s">
        <v>992</v>
      </c>
      <c r="C34">
        <v>8.9999999999999993E-3</v>
      </c>
      <c r="D34" t="s">
        <v>6</v>
      </c>
      <c r="E34" t="s">
        <v>965</v>
      </c>
      <c r="F34" t="s">
        <v>993</v>
      </c>
      <c r="H34">
        <v>999.99900000000002</v>
      </c>
      <c r="J34">
        <v>104943958</v>
      </c>
      <c r="K34" s="2">
        <v>42714</v>
      </c>
      <c r="L34">
        <v>31</v>
      </c>
      <c r="M34">
        <v>1</v>
      </c>
      <c r="N34">
        <v>4</v>
      </c>
      <c r="O34">
        <v>1</v>
      </c>
      <c r="P34" t="s">
        <v>7</v>
      </c>
    </row>
    <row r="35" spans="1:16">
      <c r="A35" t="s">
        <v>970</v>
      </c>
      <c r="B35" t="s">
        <v>973</v>
      </c>
      <c r="C35">
        <v>1.6E-2</v>
      </c>
      <c r="D35" t="s">
        <v>757</v>
      </c>
      <c r="E35" t="s">
        <v>965</v>
      </c>
      <c r="F35" t="s">
        <v>969</v>
      </c>
      <c r="G35" t="s">
        <v>973</v>
      </c>
      <c r="H35">
        <v>6.8179999999999996</v>
      </c>
      <c r="J35">
        <v>105169259</v>
      </c>
      <c r="K35" s="2">
        <v>42934</v>
      </c>
      <c r="L35">
        <v>21</v>
      </c>
      <c r="M35">
        <v>1</v>
      </c>
      <c r="N35">
        <v>0</v>
      </c>
      <c r="O35">
        <v>1</v>
      </c>
      <c r="P35" t="s">
        <v>8</v>
      </c>
    </row>
    <row r="36" spans="1:16">
      <c r="A36" t="s">
        <v>970</v>
      </c>
      <c r="B36" t="s">
        <v>965</v>
      </c>
      <c r="C36">
        <v>0.189</v>
      </c>
      <c r="D36" t="s">
        <v>758</v>
      </c>
      <c r="E36" t="s">
        <v>976</v>
      </c>
      <c r="F36" t="s">
        <v>973</v>
      </c>
      <c r="G36" t="s">
        <v>962</v>
      </c>
      <c r="H36">
        <v>0.40200000000000002</v>
      </c>
      <c r="J36">
        <v>108471501</v>
      </c>
      <c r="K36" s="2">
        <v>46132</v>
      </c>
      <c r="L36">
        <v>21</v>
      </c>
      <c r="M36">
        <v>1</v>
      </c>
      <c r="N36">
        <v>0</v>
      </c>
      <c r="O36">
        <v>1</v>
      </c>
      <c r="P36" t="s">
        <v>3</v>
      </c>
    </row>
    <row r="37" spans="1:16">
      <c r="A37" t="s">
        <v>970</v>
      </c>
      <c r="B37" t="s">
        <v>965</v>
      </c>
      <c r="C37">
        <v>1.9E-2</v>
      </c>
      <c r="D37" t="s">
        <v>758</v>
      </c>
      <c r="E37" t="s">
        <v>973</v>
      </c>
      <c r="G37" t="s">
        <v>962</v>
      </c>
      <c r="H37">
        <v>0</v>
      </c>
      <c r="J37">
        <v>105212509</v>
      </c>
      <c r="K37" s="2">
        <v>42983</v>
      </c>
      <c r="L37">
        <v>1</v>
      </c>
      <c r="M37">
        <v>2</v>
      </c>
      <c r="N37">
        <v>12</v>
      </c>
      <c r="O37">
        <v>4</v>
      </c>
      <c r="P37" t="s">
        <v>8</v>
      </c>
    </row>
    <row r="38" spans="1:16">
      <c r="A38" t="s">
        <v>970</v>
      </c>
      <c r="B38" t="s">
        <v>965</v>
      </c>
      <c r="C38">
        <v>0</v>
      </c>
      <c r="E38" t="s">
        <v>972</v>
      </c>
      <c r="F38" t="s">
        <v>981</v>
      </c>
      <c r="G38" t="s">
        <v>962</v>
      </c>
      <c r="H38">
        <v>1.331</v>
      </c>
      <c r="J38">
        <v>104976268</v>
      </c>
      <c r="K38" s="2">
        <v>42751</v>
      </c>
      <c r="L38">
        <v>1</v>
      </c>
      <c r="M38">
        <v>1</v>
      </c>
      <c r="N38">
        <v>0</v>
      </c>
      <c r="O38">
        <v>5</v>
      </c>
      <c r="P38" t="s">
        <v>7</v>
      </c>
    </row>
    <row r="39" spans="1:16">
      <c r="A39" t="s">
        <v>970</v>
      </c>
      <c r="B39" t="s">
        <v>965</v>
      </c>
      <c r="C39">
        <v>3.7999999999999999E-2</v>
      </c>
      <c r="D39" t="s">
        <v>756</v>
      </c>
      <c r="E39" t="s">
        <v>976</v>
      </c>
      <c r="F39" t="s">
        <v>973</v>
      </c>
      <c r="G39" t="s">
        <v>962</v>
      </c>
      <c r="H39">
        <v>0.629</v>
      </c>
      <c r="J39">
        <v>105075866</v>
      </c>
      <c r="K39" s="2">
        <v>42830</v>
      </c>
      <c r="L39">
        <v>21</v>
      </c>
      <c r="M39">
        <v>2</v>
      </c>
      <c r="N39">
        <v>0</v>
      </c>
      <c r="O39">
        <v>1</v>
      </c>
      <c r="P39" t="s">
        <v>7</v>
      </c>
    </row>
    <row r="40" spans="1:16">
      <c r="A40" t="s">
        <v>970</v>
      </c>
      <c r="B40" t="s">
        <v>973</v>
      </c>
      <c r="C40">
        <v>2E-3</v>
      </c>
      <c r="D40" t="s">
        <v>6</v>
      </c>
      <c r="E40" t="s">
        <v>965</v>
      </c>
      <c r="F40" t="s">
        <v>969</v>
      </c>
      <c r="G40" t="s">
        <v>973</v>
      </c>
      <c r="H40">
        <v>6.8</v>
      </c>
      <c r="J40">
        <v>105104140</v>
      </c>
      <c r="K40" s="2">
        <v>42874</v>
      </c>
      <c r="L40">
        <v>21</v>
      </c>
      <c r="M40">
        <v>1</v>
      </c>
      <c r="N40">
        <v>7</v>
      </c>
      <c r="O40">
        <v>1</v>
      </c>
      <c r="P40" t="s">
        <v>3</v>
      </c>
    </row>
    <row r="41" spans="1:16">
      <c r="A41" t="s">
        <v>970</v>
      </c>
      <c r="B41" t="s">
        <v>973</v>
      </c>
      <c r="C41">
        <v>2E-3</v>
      </c>
      <c r="D41" t="s">
        <v>6</v>
      </c>
      <c r="E41" t="s">
        <v>965</v>
      </c>
      <c r="G41" t="s">
        <v>973</v>
      </c>
      <c r="H41">
        <v>6.8</v>
      </c>
      <c r="J41">
        <v>105065784</v>
      </c>
      <c r="K41" s="2">
        <v>42835</v>
      </c>
      <c r="L41">
        <v>21</v>
      </c>
      <c r="M41">
        <v>1</v>
      </c>
      <c r="N41">
        <v>7</v>
      </c>
      <c r="O41">
        <v>1</v>
      </c>
      <c r="P41" t="s">
        <v>7</v>
      </c>
    </row>
    <row r="42" spans="1:16">
      <c r="A42" t="s">
        <v>970</v>
      </c>
      <c r="B42" t="s">
        <v>965</v>
      </c>
      <c r="C42">
        <v>1.9E-2</v>
      </c>
      <c r="D42" t="s">
        <v>756</v>
      </c>
      <c r="E42" t="s">
        <v>973</v>
      </c>
      <c r="F42" t="s">
        <v>976</v>
      </c>
      <c r="G42" t="s">
        <v>962</v>
      </c>
      <c r="H42">
        <v>1.9E-2</v>
      </c>
      <c r="J42">
        <v>104939553</v>
      </c>
      <c r="K42" s="2">
        <v>42711</v>
      </c>
      <c r="L42">
        <v>30</v>
      </c>
      <c r="M42">
        <v>1</v>
      </c>
      <c r="N42">
        <v>0</v>
      </c>
      <c r="O42">
        <v>1</v>
      </c>
      <c r="P42" t="s">
        <v>7</v>
      </c>
    </row>
    <row r="43" spans="1:16">
      <c r="A43" t="s">
        <v>970</v>
      </c>
      <c r="B43" t="s">
        <v>965</v>
      </c>
      <c r="C43">
        <v>5.0000000000000001E-3</v>
      </c>
      <c r="D43" t="s">
        <v>756</v>
      </c>
      <c r="E43" t="s">
        <v>971</v>
      </c>
      <c r="F43" t="s">
        <v>972</v>
      </c>
      <c r="G43" t="s">
        <v>962</v>
      </c>
      <c r="H43">
        <v>1.046</v>
      </c>
      <c r="J43">
        <v>107814420</v>
      </c>
      <c r="K43" s="2">
        <v>45514</v>
      </c>
      <c r="L43">
        <v>21</v>
      </c>
      <c r="M43">
        <v>1</v>
      </c>
      <c r="N43">
        <v>7</v>
      </c>
      <c r="O43">
        <v>1</v>
      </c>
      <c r="P43" t="s">
        <v>7</v>
      </c>
    </row>
    <row r="44" spans="1:16">
      <c r="A44" t="s">
        <v>970</v>
      </c>
      <c r="B44" t="s">
        <v>971</v>
      </c>
      <c r="C44">
        <v>2E-3</v>
      </c>
      <c r="D44" t="s">
        <v>6</v>
      </c>
      <c r="E44" t="s">
        <v>965</v>
      </c>
      <c r="F44" t="s">
        <v>994</v>
      </c>
      <c r="H44">
        <v>999.99900000000002</v>
      </c>
      <c r="J44">
        <v>105097137</v>
      </c>
      <c r="K44" s="2">
        <v>42863</v>
      </c>
      <c r="L44">
        <v>1</v>
      </c>
      <c r="M44">
        <v>1</v>
      </c>
      <c r="N44">
        <v>0</v>
      </c>
      <c r="O44">
        <v>1</v>
      </c>
      <c r="P44" t="s">
        <v>7</v>
      </c>
    </row>
    <row r="45" spans="1:16">
      <c r="A45" t="s">
        <v>970</v>
      </c>
      <c r="B45" t="s">
        <v>973</v>
      </c>
      <c r="C45">
        <v>2E-3</v>
      </c>
      <c r="D45" t="s">
        <v>756</v>
      </c>
      <c r="E45" t="s">
        <v>965</v>
      </c>
      <c r="G45" t="s">
        <v>973</v>
      </c>
      <c r="H45">
        <v>6.8</v>
      </c>
      <c r="J45">
        <v>105530171</v>
      </c>
      <c r="K45" s="2">
        <v>43284</v>
      </c>
      <c r="L45">
        <v>28</v>
      </c>
      <c r="M45">
        <v>1</v>
      </c>
      <c r="N45">
        <v>7</v>
      </c>
      <c r="O45">
        <v>1</v>
      </c>
      <c r="P45" t="s">
        <v>7</v>
      </c>
    </row>
    <row r="46" spans="1:16">
      <c r="A46" t="s">
        <v>970</v>
      </c>
      <c r="B46" t="s">
        <v>973</v>
      </c>
      <c r="C46">
        <v>0</v>
      </c>
      <c r="D46" t="s">
        <v>756</v>
      </c>
      <c r="E46" t="s">
        <v>965</v>
      </c>
      <c r="F46" t="s">
        <v>965</v>
      </c>
      <c r="G46" t="s">
        <v>973</v>
      </c>
      <c r="H46">
        <v>6.8019999999999996</v>
      </c>
      <c r="J46">
        <v>105472013</v>
      </c>
      <c r="K46" s="2">
        <v>43228</v>
      </c>
      <c r="L46">
        <v>30</v>
      </c>
      <c r="M46">
        <v>1</v>
      </c>
      <c r="N46">
        <v>8</v>
      </c>
      <c r="O46">
        <v>1</v>
      </c>
      <c r="P46" t="s">
        <v>7</v>
      </c>
    </row>
    <row r="47" spans="1:16">
      <c r="A47" t="s">
        <v>970</v>
      </c>
      <c r="B47" t="s">
        <v>965</v>
      </c>
      <c r="C47">
        <v>0</v>
      </c>
      <c r="E47" t="s">
        <v>995</v>
      </c>
      <c r="G47" t="s">
        <v>965</v>
      </c>
      <c r="H47">
        <v>999.99900000000002</v>
      </c>
      <c r="J47">
        <v>105504040</v>
      </c>
      <c r="K47" s="2">
        <v>43256</v>
      </c>
      <c r="L47">
        <v>21</v>
      </c>
      <c r="M47">
        <v>1</v>
      </c>
      <c r="N47">
        <v>8</v>
      </c>
      <c r="O47">
        <v>1</v>
      </c>
      <c r="P47" t="s">
        <v>3</v>
      </c>
    </row>
    <row r="48" spans="1:16">
      <c r="A48" t="s">
        <v>970</v>
      </c>
      <c r="B48" t="s">
        <v>965</v>
      </c>
      <c r="C48">
        <v>3.7999999999999999E-2</v>
      </c>
      <c r="D48" t="s">
        <v>756</v>
      </c>
      <c r="E48" t="s">
        <v>971</v>
      </c>
      <c r="F48" t="s">
        <v>968</v>
      </c>
      <c r="G48" t="s">
        <v>962</v>
      </c>
      <c r="H48">
        <v>1.079</v>
      </c>
      <c r="J48">
        <v>105599835</v>
      </c>
      <c r="K48" s="2">
        <v>43354</v>
      </c>
      <c r="L48">
        <v>1</v>
      </c>
      <c r="M48">
        <v>2</v>
      </c>
      <c r="N48">
        <v>0</v>
      </c>
      <c r="O48">
        <v>1</v>
      </c>
    </row>
    <row r="49" spans="1:16">
      <c r="A49" t="s">
        <v>970</v>
      </c>
      <c r="B49" t="s">
        <v>973</v>
      </c>
      <c r="C49">
        <v>8.9999999999999993E-3</v>
      </c>
      <c r="D49" t="s">
        <v>757</v>
      </c>
      <c r="E49" t="s">
        <v>965</v>
      </c>
      <c r="F49" t="s">
        <v>974</v>
      </c>
      <c r="G49" t="s">
        <v>973</v>
      </c>
      <c r="H49">
        <v>6.8109999999999999</v>
      </c>
      <c r="J49">
        <v>105328522</v>
      </c>
      <c r="K49" s="2">
        <v>43089</v>
      </c>
      <c r="L49">
        <v>21</v>
      </c>
      <c r="M49">
        <v>2</v>
      </c>
      <c r="N49">
        <v>7</v>
      </c>
      <c r="O49">
        <v>1</v>
      </c>
      <c r="P49" t="s">
        <v>3</v>
      </c>
    </row>
    <row r="50" spans="1:16">
      <c r="A50" t="s">
        <v>970</v>
      </c>
      <c r="B50" t="s">
        <v>965</v>
      </c>
      <c r="C50">
        <v>2.7E-2</v>
      </c>
      <c r="D50" t="s">
        <v>758</v>
      </c>
      <c r="E50" t="s">
        <v>971</v>
      </c>
      <c r="F50" t="s">
        <v>983</v>
      </c>
      <c r="G50" t="s">
        <v>962</v>
      </c>
      <c r="H50">
        <v>1.014</v>
      </c>
      <c r="J50">
        <v>105620847</v>
      </c>
      <c r="K50" s="2">
        <v>43375</v>
      </c>
      <c r="L50">
        <v>21</v>
      </c>
      <c r="M50">
        <v>1</v>
      </c>
      <c r="N50">
        <v>0</v>
      </c>
      <c r="O50">
        <v>1</v>
      </c>
      <c r="P50" t="s">
        <v>7</v>
      </c>
    </row>
    <row r="51" spans="1:16">
      <c r="A51" t="s">
        <v>970</v>
      </c>
      <c r="B51" t="s">
        <v>965</v>
      </c>
      <c r="C51">
        <v>0.1</v>
      </c>
      <c r="D51" t="s">
        <v>758</v>
      </c>
      <c r="E51" t="s">
        <v>976</v>
      </c>
      <c r="F51" t="s">
        <v>973</v>
      </c>
      <c r="G51" t="s">
        <v>962</v>
      </c>
      <c r="H51">
        <v>0.49099999999999999</v>
      </c>
      <c r="J51">
        <v>105668819</v>
      </c>
      <c r="K51" s="2">
        <v>43416</v>
      </c>
      <c r="L51">
        <v>1</v>
      </c>
      <c r="M51">
        <v>1</v>
      </c>
      <c r="N51">
        <v>0</v>
      </c>
      <c r="O51">
        <v>4</v>
      </c>
    </row>
    <row r="52" spans="1:16">
      <c r="A52" t="s">
        <v>970</v>
      </c>
      <c r="B52" t="s">
        <v>973</v>
      </c>
      <c r="C52">
        <v>4.0000000000000001E-3</v>
      </c>
      <c r="D52" t="s">
        <v>757</v>
      </c>
      <c r="E52" t="s">
        <v>965</v>
      </c>
      <c r="F52" t="s">
        <v>974</v>
      </c>
      <c r="G52" t="s">
        <v>973</v>
      </c>
      <c r="H52">
        <v>6.806</v>
      </c>
      <c r="J52">
        <v>105713667</v>
      </c>
      <c r="K52" s="2">
        <v>43450</v>
      </c>
      <c r="L52">
        <v>31</v>
      </c>
      <c r="M52">
        <v>1</v>
      </c>
      <c r="N52">
        <v>7</v>
      </c>
      <c r="O52">
        <v>1</v>
      </c>
      <c r="P52" t="s">
        <v>7</v>
      </c>
    </row>
    <row r="53" spans="1:16">
      <c r="A53" t="s">
        <v>970</v>
      </c>
      <c r="B53" t="s">
        <v>965</v>
      </c>
      <c r="C53">
        <v>0.41</v>
      </c>
      <c r="D53" t="s">
        <v>758</v>
      </c>
      <c r="E53" t="s">
        <v>976</v>
      </c>
      <c r="F53" t="s">
        <v>973</v>
      </c>
      <c r="G53" t="s">
        <v>962</v>
      </c>
      <c r="H53">
        <v>0.18099999999999999</v>
      </c>
      <c r="J53">
        <v>105728397</v>
      </c>
      <c r="K53" s="2">
        <v>43467</v>
      </c>
      <c r="L53">
        <v>19</v>
      </c>
      <c r="M53">
        <v>1</v>
      </c>
      <c r="N53">
        <v>0</v>
      </c>
      <c r="O53">
        <v>1</v>
      </c>
      <c r="P53" t="s">
        <v>7</v>
      </c>
    </row>
    <row r="54" spans="1:16">
      <c r="A54" t="s">
        <v>970</v>
      </c>
      <c r="B54" t="s">
        <v>965</v>
      </c>
      <c r="C54">
        <v>3.7999999999999999E-2</v>
      </c>
      <c r="D54" t="s">
        <v>758</v>
      </c>
      <c r="E54" t="s">
        <v>983</v>
      </c>
      <c r="F54" t="s">
        <v>976</v>
      </c>
      <c r="G54" t="s">
        <v>962</v>
      </c>
      <c r="H54">
        <v>0.85699999999999998</v>
      </c>
      <c r="J54">
        <v>105764042</v>
      </c>
      <c r="K54" s="2">
        <v>43495</v>
      </c>
      <c r="L54">
        <v>21</v>
      </c>
      <c r="M54">
        <v>1</v>
      </c>
      <c r="N54">
        <v>0</v>
      </c>
      <c r="O54">
        <v>1</v>
      </c>
      <c r="P54" t="s">
        <v>7</v>
      </c>
    </row>
    <row r="55" spans="1:16">
      <c r="A55" t="s">
        <v>754</v>
      </c>
      <c r="B55" t="s">
        <v>965</v>
      </c>
      <c r="C55">
        <v>0</v>
      </c>
      <c r="E55" t="s">
        <v>975</v>
      </c>
      <c r="F55" t="s">
        <v>968</v>
      </c>
      <c r="G55" t="s">
        <v>962</v>
      </c>
      <c r="H55">
        <v>1.9019999999999999</v>
      </c>
      <c r="J55">
        <v>105941272</v>
      </c>
      <c r="K55" s="2">
        <v>43676</v>
      </c>
      <c r="L55">
        <v>21</v>
      </c>
      <c r="M55">
        <v>1</v>
      </c>
      <c r="N55">
        <v>8</v>
      </c>
      <c r="O55">
        <v>1</v>
      </c>
      <c r="P55" t="s">
        <v>7</v>
      </c>
    </row>
    <row r="56" spans="1:16">
      <c r="A56" t="s">
        <v>970</v>
      </c>
      <c r="B56" t="s">
        <v>965</v>
      </c>
      <c r="C56">
        <v>3.7999999999999999E-2</v>
      </c>
      <c r="D56" t="s">
        <v>756</v>
      </c>
      <c r="E56" t="s">
        <v>973</v>
      </c>
      <c r="F56" t="s">
        <v>976</v>
      </c>
      <c r="G56" t="s">
        <v>962</v>
      </c>
      <c r="H56">
        <v>3.7999999999999999E-2</v>
      </c>
      <c r="J56">
        <v>105744513</v>
      </c>
      <c r="K56" s="2">
        <v>43481</v>
      </c>
      <c r="L56">
        <v>21</v>
      </c>
      <c r="M56">
        <v>1</v>
      </c>
      <c r="N56">
        <v>0</v>
      </c>
      <c r="O56">
        <v>1</v>
      </c>
      <c r="P56" t="s">
        <v>7</v>
      </c>
    </row>
    <row r="57" spans="1:16">
      <c r="A57" t="s">
        <v>970</v>
      </c>
      <c r="B57" t="s">
        <v>973</v>
      </c>
      <c r="C57">
        <v>0</v>
      </c>
      <c r="E57" t="s">
        <v>965</v>
      </c>
      <c r="G57" t="s">
        <v>973</v>
      </c>
      <c r="H57">
        <v>6.8019999999999996</v>
      </c>
      <c r="J57">
        <v>105812332</v>
      </c>
      <c r="K57" s="2">
        <v>43549</v>
      </c>
      <c r="L57">
        <v>21</v>
      </c>
      <c r="M57">
        <v>1</v>
      </c>
      <c r="N57">
        <v>7</v>
      </c>
      <c r="O57">
        <v>1</v>
      </c>
      <c r="P57" t="s">
        <v>7</v>
      </c>
    </row>
    <row r="58" spans="1:16">
      <c r="A58" t="s">
        <v>970</v>
      </c>
      <c r="B58" t="s">
        <v>965</v>
      </c>
      <c r="C58">
        <v>0</v>
      </c>
      <c r="E58" t="s">
        <v>971</v>
      </c>
      <c r="G58" t="s">
        <v>962</v>
      </c>
      <c r="H58">
        <v>1.0409999999999999</v>
      </c>
      <c r="J58">
        <v>106043703</v>
      </c>
      <c r="K58" s="2">
        <v>43768</v>
      </c>
      <c r="L58">
        <v>30</v>
      </c>
      <c r="M58">
        <v>1</v>
      </c>
      <c r="N58">
        <v>7</v>
      </c>
      <c r="O58">
        <v>4</v>
      </c>
      <c r="P58" t="s">
        <v>7</v>
      </c>
    </row>
    <row r="59" spans="1:16">
      <c r="A59" t="s">
        <v>970</v>
      </c>
      <c r="B59" t="s">
        <v>965</v>
      </c>
      <c r="C59">
        <v>1.0999999999999999E-2</v>
      </c>
      <c r="D59" t="s">
        <v>756</v>
      </c>
      <c r="E59" t="s">
        <v>972</v>
      </c>
      <c r="F59" t="s">
        <v>981</v>
      </c>
      <c r="G59" t="s">
        <v>962</v>
      </c>
      <c r="H59">
        <v>1.3420000000000001</v>
      </c>
      <c r="J59">
        <v>105421693</v>
      </c>
      <c r="K59" s="2">
        <v>43176</v>
      </c>
      <c r="L59">
        <v>1</v>
      </c>
      <c r="M59">
        <v>1</v>
      </c>
      <c r="N59">
        <v>0</v>
      </c>
      <c r="O59">
        <v>5</v>
      </c>
      <c r="P59" t="s">
        <v>7</v>
      </c>
    </row>
    <row r="60" spans="1:16">
      <c r="A60" t="s">
        <v>970</v>
      </c>
      <c r="B60" t="s">
        <v>965</v>
      </c>
      <c r="C60">
        <v>0</v>
      </c>
      <c r="E60" t="s">
        <v>996</v>
      </c>
      <c r="F60" t="s">
        <v>975</v>
      </c>
      <c r="H60">
        <v>999.99900000000002</v>
      </c>
      <c r="J60">
        <v>105719359</v>
      </c>
      <c r="K60" s="2">
        <v>43458</v>
      </c>
      <c r="L60">
        <v>30</v>
      </c>
      <c r="M60">
        <v>1</v>
      </c>
      <c r="N60">
        <v>8</v>
      </c>
      <c r="O60">
        <v>1</v>
      </c>
      <c r="P60" t="s">
        <v>7</v>
      </c>
    </row>
    <row r="61" spans="1:16">
      <c r="A61" t="s">
        <v>970</v>
      </c>
      <c r="B61" t="s">
        <v>965</v>
      </c>
      <c r="C61">
        <v>9.4E-2</v>
      </c>
      <c r="D61" t="s">
        <v>756</v>
      </c>
      <c r="E61" t="s">
        <v>973</v>
      </c>
      <c r="F61" t="s">
        <v>976</v>
      </c>
      <c r="G61" t="s">
        <v>962</v>
      </c>
      <c r="H61">
        <v>9.4E-2</v>
      </c>
      <c r="J61">
        <v>105764038</v>
      </c>
      <c r="K61" s="2">
        <v>43492</v>
      </c>
      <c r="L61">
        <v>21</v>
      </c>
      <c r="M61">
        <v>1</v>
      </c>
      <c r="N61">
        <v>0</v>
      </c>
      <c r="O61">
        <v>1</v>
      </c>
      <c r="P61" t="s">
        <v>3</v>
      </c>
    </row>
    <row r="62" spans="1:16">
      <c r="A62" t="s">
        <v>754</v>
      </c>
      <c r="B62" t="s">
        <v>962</v>
      </c>
      <c r="C62">
        <v>0.1</v>
      </c>
      <c r="D62" t="s">
        <v>758</v>
      </c>
      <c r="E62" t="s">
        <v>968</v>
      </c>
      <c r="F62" t="s">
        <v>973</v>
      </c>
      <c r="G62" t="s">
        <v>962</v>
      </c>
      <c r="H62">
        <v>2.0920000000000001</v>
      </c>
      <c r="J62">
        <v>105832375</v>
      </c>
      <c r="K62" s="2">
        <v>43566</v>
      </c>
      <c r="L62">
        <v>21</v>
      </c>
      <c r="M62">
        <v>1</v>
      </c>
      <c r="N62">
        <v>0</v>
      </c>
      <c r="O62">
        <v>1</v>
      </c>
      <c r="P62" t="s">
        <v>3</v>
      </c>
    </row>
    <row r="63" spans="1:16">
      <c r="A63" t="s">
        <v>970</v>
      </c>
      <c r="B63" t="s">
        <v>965</v>
      </c>
      <c r="C63">
        <v>4.7E-2</v>
      </c>
      <c r="D63" t="s">
        <v>756</v>
      </c>
      <c r="E63" t="s">
        <v>973</v>
      </c>
      <c r="F63" t="s">
        <v>976</v>
      </c>
      <c r="G63" t="s">
        <v>962</v>
      </c>
      <c r="H63">
        <v>4.7E-2</v>
      </c>
      <c r="J63">
        <v>107712454</v>
      </c>
      <c r="K63" s="2">
        <v>45420</v>
      </c>
      <c r="L63">
        <v>24</v>
      </c>
      <c r="M63">
        <v>2</v>
      </c>
      <c r="N63">
        <v>4</v>
      </c>
      <c r="O63">
        <v>1</v>
      </c>
      <c r="P63" t="s">
        <v>7</v>
      </c>
    </row>
    <row r="64" spans="1:16">
      <c r="A64" t="s">
        <v>970</v>
      </c>
      <c r="B64" t="s">
        <v>973</v>
      </c>
      <c r="C64">
        <v>0</v>
      </c>
      <c r="E64" t="s">
        <v>965</v>
      </c>
      <c r="G64" t="s">
        <v>973</v>
      </c>
      <c r="H64">
        <v>6.8019999999999996</v>
      </c>
      <c r="J64">
        <v>105927533</v>
      </c>
      <c r="K64" s="2">
        <v>43661</v>
      </c>
      <c r="L64">
        <v>21</v>
      </c>
      <c r="M64">
        <v>1</v>
      </c>
      <c r="N64">
        <v>7</v>
      </c>
      <c r="O64">
        <v>1</v>
      </c>
      <c r="P64" t="s">
        <v>7</v>
      </c>
    </row>
    <row r="65" spans="1:16">
      <c r="A65" t="s">
        <v>970</v>
      </c>
      <c r="B65" t="s">
        <v>973</v>
      </c>
      <c r="C65">
        <v>0</v>
      </c>
      <c r="E65" t="s">
        <v>965</v>
      </c>
      <c r="G65" t="s">
        <v>973</v>
      </c>
      <c r="H65">
        <v>6.8019999999999996</v>
      </c>
      <c r="J65">
        <v>105851751</v>
      </c>
      <c r="K65" s="2">
        <v>43589</v>
      </c>
      <c r="L65">
        <v>21</v>
      </c>
      <c r="M65">
        <v>1</v>
      </c>
      <c r="N65">
        <v>7</v>
      </c>
      <c r="O65">
        <v>1</v>
      </c>
      <c r="P65" t="s">
        <v>7</v>
      </c>
    </row>
    <row r="66" spans="1:16">
      <c r="A66" t="s">
        <v>970</v>
      </c>
      <c r="B66" t="s">
        <v>965</v>
      </c>
      <c r="C66">
        <v>5.7000000000000002E-2</v>
      </c>
      <c r="D66" t="s">
        <v>756</v>
      </c>
      <c r="E66" t="s">
        <v>973</v>
      </c>
      <c r="F66" t="s">
        <v>976</v>
      </c>
      <c r="G66" t="s">
        <v>962</v>
      </c>
      <c r="H66">
        <v>5.7000000000000002E-2</v>
      </c>
      <c r="J66">
        <v>105877329</v>
      </c>
      <c r="K66" s="2">
        <v>43608</v>
      </c>
      <c r="L66">
        <v>30</v>
      </c>
      <c r="M66">
        <v>1</v>
      </c>
      <c r="N66">
        <v>0</v>
      </c>
      <c r="O66">
        <v>1</v>
      </c>
      <c r="P66" t="s">
        <v>9</v>
      </c>
    </row>
    <row r="67" spans="1:16">
      <c r="A67" t="s">
        <v>970</v>
      </c>
      <c r="B67" t="s">
        <v>965</v>
      </c>
      <c r="C67">
        <v>4.7E-2</v>
      </c>
      <c r="D67" t="s">
        <v>758</v>
      </c>
      <c r="E67" t="s">
        <v>981</v>
      </c>
      <c r="F67" t="s">
        <v>972</v>
      </c>
      <c r="G67" t="s">
        <v>962</v>
      </c>
      <c r="H67">
        <v>1.3640000000000001</v>
      </c>
      <c r="J67">
        <v>105944932</v>
      </c>
      <c r="K67" s="2">
        <v>43649</v>
      </c>
      <c r="L67">
        <v>1</v>
      </c>
      <c r="M67">
        <v>1</v>
      </c>
      <c r="N67">
        <v>0</v>
      </c>
      <c r="O67">
        <v>1</v>
      </c>
      <c r="P67" t="s">
        <v>7</v>
      </c>
    </row>
    <row r="68" spans="1:16">
      <c r="A68" t="s">
        <v>970</v>
      </c>
      <c r="B68" t="s">
        <v>965</v>
      </c>
      <c r="C68">
        <v>2.8000000000000001E-2</v>
      </c>
      <c r="D68" t="s">
        <v>756</v>
      </c>
      <c r="E68" t="s">
        <v>973</v>
      </c>
      <c r="F68" t="s">
        <v>976</v>
      </c>
      <c r="G68" t="s">
        <v>962</v>
      </c>
      <c r="H68">
        <v>2.8000000000000001E-2</v>
      </c>
      <c r="J68">
        <v>105944937</v>
      </c>
      <c r="K68" s="2">
        <v>43678</v>
      </c>
      <c r="L68">
        <v>30</v>
      </c>
      <c r="M68">
        <v>1</v>
      </c>
      <c r="N68">
        <v>0</v>
      </c>
      <c r="O68">
        <v>1</v>
      </c>
      <c r="P68" t="s">
        <v>7</v>
      </c>
    </row>
    <row r="69" spans="1:16">
      <c r="A69" t="s">
        <v>970</v>
      </c>
      <c r="B69" t="s">
        <v>965</v>
      </c>
      <c r="C69">
        <v>0.01</v>
      </c>
      <c r="D69" t="s">
        <v>756</v>
      </c>
      <c r="E69" t="s">
        <v>973</v>
      </c>
      <c r="F69" t="s">
        <v>976</v>
      </c>
      <c r="G69" t="s">
        <v>962</v>
      </c>
      <c r="H69">
        <v>0.01</v>
      </c>
      <c r="J69">
        <v>105888449</v>
      </c>
      <c r="K69" s="2">
        <v>43560</v>
      </c>
      <c r="L69">
        <v>21</v>
      </c>
      <c r="M69">
        <v>2</v>
      </c>
      <c r="N69">
        <v>0</v>
      </c>
      <c r="O69">
        <v>1</v>
      </c>
      <c r="P69" t="s">
        <v>3</v>
      </c>
    </row>
    <row r="70" spans="1:16">
      <c r="A70" t="s">
        <v>970</v>
      </c>
      <c r="B70" t="s">
        <v>973</v>
      </c>
      <c r="C70">
        <v>1.4999999999999999E-2</v>
      </c>
      <c r="D70" t="s">
        <v>757</v>
      </c>
      <c r="E70" t="s">
        <v>965</v>
      </c>
      <c r="F70" t="s">
        <v>997</v>
      </c>
      <c r="G70" t="s">
        <v>973</v>
      </c>
      <c r="H70">
        <v>6.8170000000000002</v>
      </c>
      <c r="J70">
        <v>106087835</v>
      </c>
      <c r="K70" s="2">
        <v>43798</v>
      </c>
      <c r="L70">
        <v>21</v>
      </c>
      <c r="M70">
        <v>1</v>
      </c>
      <c r="N70">
        <v>0</v>
      </c>
      <c r="O70">
        <v>1</v>
      </c>
      <c r="P70" t="s">
        <v>7</v>
      </c>
    </row>
    <row r="71" spans="1:16">
      <c r="A71" t="s">
        <v>970</v>
      </c>
      <c r="B71" t="s">
        <v>978</v>
      </c>
      <c r="C71">
        <v>1.9E-2</v>
      </c>
      <c r="D71" t="s">
        <v>6</v>
      </c>
      <c r="E71" t="s">
        <v>965</v>
      </c>
      <c r="H71">
        <v>999.99900000000002</v>
      </c>
      <c r="J71">
        <v>106127933</v>
      </c>
      <c r="K71" s="2">
        <v>43845</v>
      </c>
      <c r="L71">
        <v>18</v>
      </c>
      <c r="M71">
        <v>1</v>
      </c>
      <c r="N71">
        <v>5</v>
      </c>
      <c r="O71">
        <v>1</v>
      </c>
      <c r="P71" t="s">
        <v>7</v>
      </c>
    </row>
    <row r="72" spans="1:16">
      <c r="A72" t="s">
        <v>970</v>
      </c>
      <c r="B72" t="s">
        <v>965</v>
      </c>
      <c r="C72">
        <v>0</v>
      </c>
      <c r="E72" t="s">
        <v>971</v>
      </c>
      <c r="F72" t="s">
        <v>998</v>
      </c>
      <c r="G72" t="s">
        <v>962</v>
      </c>
      <c r="H72">
        <v>1.0409999999999999</v>
      </c>
      <c r="J72">
        <v>108596194</v>
      </c>
      <c r="K72" s="2">
        <v>46254</v>
      </c>
      <c r="L72">
        <v>19</v>
      </c>
      <c r="M72">
        <v>1</v>
      </c>
      <c r="N72">
        <v>7</v>
      </c>
      <c r="O72">
        <v>1</v>
      </c>
    </row>
    <row r="73" spans="1:16">
      <c r="A73" t="s">
        <v>970</v>
      </c>
      <c r="B73" t="s">
        <v>965</v>
      </c>
      <c r="C73">
        <v>5.7000000000000002E-2</v>
      </c>
      <c r="D73" t="s">
        <v>756</v>
      </c>
      <c r="E73" t="s">
        <v>973</v>
      </c>
      <c r="F73" t="s">
        <v>976</v>
      </c>
      <c r="G73" t="s">
        <v>962</v>
      </c>
      <c r="H73">
        <v>5.7000000000000002E-2</v>
      </c>
      <c r="J73">
        <v>106267434</v>
      </c>
      <c r="K73" s="2">
        <v>44015</v>
      </c>
      <c r="L73">
        <v>21</v>
      </c>
      <c r="M73">
        <v>1</v>
      </c>
      <c r="N73">
        <v>0</v>
      </c>
      <c r="O73">
        <v>1</v>
      </c>
      <c r="P73" t="s">
        <v>7</v>
      </c>
    </row>
    <row r="74" spans="1:16">
      <c r="A74" t="s">
        <v>970</v>
      </c>
      <c r="B74" t="s">
        <v>965</v>
      </c>
      <c r="C74">
        <v>0.02</v>
      </c>
      <c r="D74" t="s">
        <v>756</v>
      </c>
      <c r="E74" t="s">
        <v>999</v>
      </c>
      <c r="F74" t="s">
        <v>971</v>
      </c>
      <c r="H74">
        <v>999.99900000000002</v>
      </c>
      <c r="J74">
        <v>106304131</v>
      </c>
      <c r="K74" s="2">
        <v>44053</v>
      </c>
      <c r="L74">
        <v>2</v>
      </c>
      <c r="M74">
        <v>2</v>
      </c>
      <c r="N74">
        <v>0</v>
      </c>
      <c r="O74">
        <v>5</v>
      </c>
      <c r="P74" t="s">
        <v>7</v>
      </c>
    </row>
    <row r="75" spans="1:16">
      <c r="A75" t="s">
        <v>970</v>
      </c>
      <c r="B75" t="s">
        <v>965</v>
      </c>
      <c r="C75">
        <v>5.0999999999999997E-2</v>
      </c>
      <c r="D75" t="s">
        <v>758</v>
      </c>
      <c r="E75" t="s">
        <v>972</v>
      </c>
      <c r="F75" t="s">
        <v>971</v>
      </c>
      <c r="G75" t="s">
        <v>962</v>
      </c>
      <c r="H75">
        <v>1.28</v>
      </c>
      <c r="J75">
        <v>106233156</v>
      </c>
      <c r="K75" s="2">
        <v>43974</v>
      </c>
      <c r="L75">
        <v>1</v>
      </c>
      <c r="M75">
        <v>1</v>
      </c>
      <c r="N75">
        <v>0</v>
      </c>
      <c r="O75">
        <v>1</v>
      </c>
      <c r="P75" t="s">
        <v>8</v>
      </c>
    </row>
    <row r="76" spans="1:16">
      <c r="A76" t="s">
        <v>970</v>
      </c>
      <c r="B76" t="s">
        <v>1000</v>
      </c>
      <c r="C76">
        <v>1.9E-2</v>
      </c>
      <c r="D76" t="s">
        <v>6</v>
      </c>
      <c r="E76" t="s">
        <v>965</v>
      </c>
      <c r="F76" t="s">
        <v>978</v>
      </c>
      <c r="H76">
        <v>999.99900000000002</v>
      </c>
      <c r="J76">
        <v>106327141</v>
      </c>
      <c r="K76" s="2">
        <v>44077</v>
      </c>
      <c r="L76">
        <v>19</v>
      </c>
      <c r="M76">
        <v>1</v>
      </c>
      <c r="N76">
        <v>5</v>
      </c>
      <c r="O76">
        <v>4</v>
      </c>
      <c r="P76" t="s">
        <v>7</v>
      </c>
    </row>
    <row r="77" spans="1:16">
      <c r="A77" t="s">
        <v>970</v>
      </c>
      <c r="B77" t="s">
        <v>965</v>
      </c>
      <c r="C77">
        <v>0.28000000000000003</v>
      </c>
      <c r="D77" t="s">
        <v>756</v>
      </c>
      <c r="E77" t="s">
        <v>972</v>
      </c>
      <c r="F77" t="s">
        <v>971</v>
      </c>
      <c r="G77" t="s">
        <v>962</v>
      </c>
      <c r="H77">
        <v>1.611</v>
      </c>
      <c r="J77">
        <v>106367037</v>
      </c>
      <c r="K77" s="2">
        <v>44117</v>
      </c>
      <c r="L77">
        <v>30</v>
      </c>
      <c r="M77">
        <v>1</v>
      </c>
      <c r="N77">
        <v>0</v>
      </c>
      <c r="O77">
        <v>1</v>
      </c>
      <c r="P77" t="s">
        <v>7</v>
      </c>
    </row>
    <row r="78" spans="1:16">
      <c r="A78" t="s">
        <v>970</v>
      </c>
      <c r="B78" t="s">
        <v>965</v>
      </c>
      <c r="C78">
        <v>0</v>
      </c>
      <c r="E78" t="s">
        <v>1001</v>
      </c>
      <c r="H78">
        <v>999.99900000000002</v>
      </c>
      <c r="J78">
        <v>106369441</v>
      </c>
      <c r="K78" s="2">
        <v>44119</v>
      </c>
      <c r="L78">
        <v>30</v>
      </c>
      <c r="M78">
        <v>1</v>
      </c>
      <c r="N78">
        <v>0</v>
      </c>
      <c r="O78">
        <v>1</v>
      </c>
      <c r="P78" t="s">
        <v>7</v>
      </c>
    </row>
    <row r="79" spans="1:16">
      <c r="A79" t="s">
        <v>970</v>
      </c>
      <c r="B79" t="s">
        <v>965</v>
      </c>
      <c r="C79">
        <v>0</v>
      </c>
      <c r="E79" t="s">
        <v>971</v>
      </c>
      <c r="G79" t="s">
        <v>962</v>
      </c>
      <c r="H79">
        <v>1.0409999999999999</v>
      </c>
      <c r="J79">
        <v>106374934</v>
      </c>
      <c r="K79" s="2">
        <v>44110</v>
      </c>
      <c r="L79">
        <v>21</v>
      </c>
      <c r="M79">
        <v>1</v>
      </c>
      <c r="N79">
        <v>7</v>
      </c>
      <c r="O79">
        <v>1</v>
      </c>
      <c r="P79" t="s">
        <v>7</v>
      </c>
    </row>
    <row r="80" spans="1:16">
      <c r="A80" t="s">
        <v>970</v>
      </c>
      <c r="B80" t="s">
        <v>965</v>
      </c>
      <c r="C80">
        <v>6.0000000000000001E-3</v>
      </c>
      <c r="D80" t="s">
        <v>758</v>
      </c>
      <c r="E80" t="s">
        <v>973</v>
      </c>
      <c r="F80" t="s">
        <v>976</v>
      </c>
      <c r="G80" t="s">
        <v>962</v>
      </c>
      <c r="H80">
        <v>0</v>
      </c>
      <c r="J80">
        <v>106422367</v>
      </c>
      <c r="K80" s="2">
        <v>44166</v>
      </c>
      <c r="L80">
        <v>32</v>
      </c>
      <c r="M80">
        <v>1</v>
      </c>
      <c r="N80">
        <v>7</v>
      </c>
      <c r="O80">
        <v>1</v>
      </c>
      <c r="P80" t="s">
        <v>7</v>
      </c>
    </row>
    <row r="81" spans="1:19">
      <c r="A81" t="s">
        <v>754</v>
      </c>
      <c r="B81" t="s">
        <v>962</v>
      </c>
      <c r="C81">
        <v>0.2</v>
      </c>
      <c r="D81" t="s">
        <v>758</v>
      </c>
      <c r="E81" t="s">
        <v>968</v>
      </c>
      <c r="F81" t="s">
        <v>973</v>
      </c>
      <c r="G81" t="s">
        <v>962</v>
      </c>
      <c r="H81">
        <v>1.992</v>
      </c>
      <c r="J81">
        <v>106422881</v>
      </c>
      <c r="K81" s="2">
        <v>44159</v>
      </c>
      <c r="L81">
        <v>21</v>
      </c>
      <c r="M81">
        <v>1</v>
      </c>
      <c r="N81">
        <v>4</v>
      </c>
      <c r="O81">
        <v>1</v>
      </c>
      <c r="P81" t="s">
        <v>8</v>
      </c>
    </row>
    <row r="82" spans="1:19">
      <c r="A82" t="s">
        <v>970</v>
      </c>
      <c r="B82" t="s">
        <v>965</v>
      </c>
      <c r="C82">
        <v>0.25</v>
      </c>
      <c r="D82" t="s">
        <v>758</v>
      </c>
      <c r="E82" t="s">
        <v>976</v>
      </c>
      <c r="F82" t="s">
        <v>973</v>
      </c>
      <c r="G82" t="s">
        <v>962</v>
      </c>
      <c r="H82">
        <v>0.34100000000000003</v>
      </c>
      <c r="J82">
        <v>106401761</v>
      </c>
      <c r="K82" s="2">
        <v>44146</v>
      </c>
      <c r="L82">
        <v>21</v>
      </c>
      <c r="M82">
        <v>2</v>
      </c>
      <c r="N82">
        <v>0</v>
      </c>
      <c r="O82">
        <v>1</v>
      </c>
      <c r="P82" t="s">
        <v>7</v>
      </c>
    </row>
    <row r="83" spans="1:19">
      <c r="A83" t="s">
        <v>970</v>
      </c>
      <c r="B83" t="s">
        <v>965</v>
      </c>
      <c r="C83">
        <v>0.28000000000000003</v>
      </c>
      <c r="D83" t="s">
        <v>756</v>
      </c>
      <c r="E83" t="s">
        <v>971</v>
      </c>
      <c r="F83" t="s">
        <v>972</v>
      </c>
      <c r="G83" t="s">
        <v>962</v>
      </c>
      <c r="H83">
        <v>1.321</v>
      </c>
      <c r="J83">
        <v>106387765</v>
      </c>
      <c r="K83" s="2">
        <v>44134</v>
      </c>
      <c r="L83">
        <v>21</v>
      </c>
      <c r="M83">
        <v>1</v>
      </c>
      <c r="N83">
        <v>0</v>
      </c>
      <c r="O83">
        <v>1</v>
      </c>
      <c r="P83" t="s">
        <v>7</v>
      </c>
    </row>
    <row r="84" spans="1:19">
      <c r="A84" t="s">
        <v>970</v>
      </c>
      <c r="B84" t="s">
        <v>965</v>
      </c>
      <c r="C84">
        <v>1.4E-2</v>
      </c>
      <c r="D84" t="s">
        <v>758</v>
      </c>
      <c r="E84" t="s">
        <v>972</v>
      </c>
      <c r="F84" t="s">
        <v>971</v>
      </c>
      <c r="G84" t="s">
        <v>962</v>
      </c>
      <c r="H84">
        <v>1.3169999999999999</v>
      </c>
      <c r="J84">
        <v>106431618</v>
      </c>
      <c r="K84" s="2">
        <v>44174</v>
      </c>
      <c r="L84">
        <v>21</v>
      </c>
      <c r="M84">
        <v>1</v>
      </c>
      <c r="N84">
        <v>0</v>
      </c>
      <c r="O84">
        <v>1</v>
      </c>
      <c r="P84" t="s">
        <v>7</v>
      </c>
    </row>
    <row r="85" spans="1:19">
      <c r="A85" t="s">
        <v>970</v>
      </c>
      <c r="B85" t="s">
        <v>965</v>
      </c>
      <c r="C85">
        <v>0.13</v>
      </c>
      <c r="D85" t="s">
        <v>758</v>
      </c>
      <c r="E85" t="s">
        <v>972</v>
      </c>
      <c r="F85" t="s">
        <v>971</v>
      </c>
      <c r="G85" t="s">
        <v>962</v>
      </c>
      <c r="H85">
        <v>1.2010000000000001</v>
      </c>
      <c r="J85">
        <v>106398269</v>
      </c>
      <c r="K85" s="2">
        <v>44144</v>
      </c>
      <c r="L85">
        <v>19</v>
      </c>
      <c r="M85">
        <v>1</v>
      </c>
      <c r="N85">
        <v>0</v>
      </c>
      <c r="O85">
        <v>5</v>
      </c>
      <c r="P85" t="s">
        <v>7</v>
      </c>
    </row>
    <row r="86" spans="1:19">
      <c r="A86" t="s">
        <v>970</v>
      </c>
      <c r="B86" t="s">
        <v>973</v>
      </c>
      <c r="C86">
        <v>1.9E-2</v>
      </c>
      <c r="D86" t="s">
        <v>6</v>
      </c>
      <c r="E86" t="s">
        <v>965</v>
      </c>
      <c r="F86" t="s">
        <v>974</v>
      </c>
      <c r="G86" t="s">
        <v>973</v>
      </c>
      <c r="H86">
        <v>6.7830000000000004</v>
      </c>
      <c r="J86">
        <v>106437818</v>
      </c>
      <c r="K86" s="2">
        <v>44175</v>
      </c>
      <c r="L86">
        <v>21</v>
      </c>
      <c r="M86">
        <v>1</v>
      </c>
      <c r="N86">
        <v>0</v>
      </c>
      <c r="O86">
        <v>1</v>
      </c>
      <c r="P86" t="s">
        <v>7</v>
      </c>
    </row>
    <row r="87" spans="1:19">
      <c r="A87" t="s">
        <v>754</v>
      </c>
      <c r="B87" t="s">
        <v>961</v>
      </c>
      <c r="C87">
        <v>0</v>
      </c>
      <c r="E87" t="s">
        <v>975</v>
      </c>
      <c r="F87" t="s">
        <v>977</v>
      </c>
      <c r="G87" t="s">
        <v>961</v>
      </c>
      <c r="H87">
        <v>999.99900000000002</v>
      </c>
      <c r="J87">
        <v>106471136</v>
      </c>
      <c r="K87" s="2">
        <v>44215</v>
      </c>
      <c r="L87">
        <v>21</v>
      </c>
      <c r="M87">
        <v>1</v>
      </c>
      <c r="N87">
        <v>8</v>
      </c>
      <c r="O87">
        <v>1</v>
      </c>
      <c r="P87" t="s">
        <v>7</v>
      </c>
    </row>
    <row r="88" spans="1:19">
      <c r="A88" t="s">
        <v>754</v>
      </c>
      <c r="B88" t="s">
        <v>962</v>
      </c>
      <c r="C88">
        <v>0.2</v>
      </c>
      <c r="D88" t="s">
        <v>758</v>
      </c>
      <c r="E88" t="s">
        <v>968</v>
      </c>
      <c r="F88" t="s">
        <v>969</v>
      </c>
      <c r="G88" t="s">
        <v>962</v>
      </c>
      <c r="H88">
        <v>1.992</v>
      </c>
      <c r="J88">
        <v>107982530</v>
      </c>
      <c r="K88" s="2">
        <v>45664</v>
      </c>
      <c r="L88">
        <v>28</v>
      </c>
      <c r="M88">
        <v>1</v>
      </c>
      <c r="N88">
        <v>0</v>
      </c>
      <c r="O88">
        <v>1</v>
      </c>
      <c r="P88" t="s">
        <v>3</v>
      </c>
      <c r="Q88">
        <v>35.176963999999998</v>
      </c>
      <c r="R88">
        <v>-79.434920000000005</v>
      </c>
      <c r="S88" t="s">
        <v>761</v>
      </c>
    </row>
    <row r="89" spans="1:19">
      <c r="A89" t="s">
        <v>970</v>
      </c>
      <c r="B89" t="s">
        <v>981</v>
      </c>
      <c r="C89">
        <v>0</v>
      </c>
      <c r="E89" t="s">
        <v>965</v>
      </c>
      <c r="G89" t="s">
        <v>962</v>
      </c>
      <c r="H89">
        <v>1.411</v>
      </c>
      <c r="J89">
        <v>106489666</v>
      </c>
      <c r="K89" s="2">
        <v>44235</v>
      </c>
      <c r="L89">
        <v>30</v>
      </c>
      <c r="M89">
        <v>1</v>
      </c>
      <c r="N89">
        <v>8</v>
      </c>
      <c r="O89">
        <v>1</v>
      </c>
      <c r="P89" t="s">
        <v>3</v>
      </c>
    </row>
    <row r="90" spans="1:19">
      <c r="A90" t="s">
        <v>970</v>
      </c>
      <c r="B90" t="s">
        <v>965</v>
      </c>
      <c r="C90">
        <v>0.28000000000000003</v>
      </c>
      <c r="D90" t="s">
        <v>765</v>
      </c>
      <c r="E90" t="s">
        <v>976</v>
      </c>
      <c r="F90" t="s">
        <v>973</v>
      </c>
      <c r="G90" t="s">
        <v>962</v>
      </c>
      <c r="H90">
        <v>0.311</v>
      </c>
      <c r="J90">
        <v>108361181</v>
      </c>
      <c r="K90" s="2">
        <v>46025</v>
      </c>
      <c r="L90">
        <v>1</v>
      </c>
      <c r="M90">
        <v>1</v>
      </c>
      <c r="N90">
        <v>0</v>
      </c>
      <c r="O90">
        <v>5</v>
      </c>
    </row>
    <row r="91" spans="1:19">
      <c r="A91" t="s">
        <v>970</v>
      </c>
      <c r="B91" t="s">
        <v>965</v>
      </c>
      <c r="C91">
        <v>5.8000000000000003E-2</v>
      </c>
      <c r="D91" t="s">
        <v>765</v>
      </c>
      <c r="E91" t="s">
        <v>976</v>
      </c>
      <c r="F91" t="s">
        <v>973</v>
      </c>
      <c r="G91" t="s">
        <v>962</v>
      </c>
      <c r="H91">
        <v>0.53300000000000003</v>
      </c>
      <c r="J91">
        <v>106580347</v>
      </c>
      <c r="K91" s="2">
        <v>44335</v>
      </c>
      <c r="L91">
        <v>29</v>
      </c>
      <c r="M91">
        <v>1</v>
      </c>
      <c r="N91">
        <v>0</v>
      </c>
      <c r="O91">
        <v>1</v>
      </c>
      <c r="P91" t="s">
        <v>8</v>
      </c>
    </row>
    <row r="92" spans="1:19">
      <c r="A92" t="s">
        <v>754</v>
      </c>
      <c r="B92" t="s">
        <v>962</v>
      </c>
      <c r="C92">
        <v>9.0999999999999998E-2</v>
      </c>
      <c r="D92" t="s">
        <v>758</v>
      </c>
      <c r="E92" t="s">
        <v>975</v>
      </c>
      <c r="F92" t="s">
        <v>980</v>
      </c>
      <c r="G92" t="s">
        <v>962</v>
      </c>
      <c r="H92">
        <v>1.8109999999999999</v>
      </c>
      <c r="J92">
        <v>106555605</v>
      </c>
      <c r="K92" s="2">
        <v>44310</v>
      </c>
      <c r="L92">
        <v>21</v>
      </c>
      <c r="M92">
        <v>2</v>
      </c>
      <c r="N92">
        <v>0</v>
      </c>
      <c r="O92">
        <v>1</v>
      </c>
      <c r="P92" t="s">
        <v>3</v>
      </c>
    </row>
    <row r="93" spans="1:19">
      <c r="A93" t="s">
        <v>970</v>
      </c>
      <c r="B93" t="s">
        <v>973</v>
      </c>
      <c r="C93">
        <v>0</v>
      </c>
      <c r="E93" t="s">
        <v>965</v>
      </c>
      <c r="G93" t="s">
        <v>973</v>
      </c>
      <c r="H93">
        <v>6.8019999999999996</v>
      </c>
      <c r="J93">
        <v>106547772</v>
      </c>
      <c r="K93" s="2">
        <v>44302</v>
      </c>
      <c r="L93">
        <v>30</v>
      </c>
      <c r="M93">
        <v>1</v>
      </c>
      <c r="N93">
        <v>7</v>
      </c>
      <c r="O93">
        <v>4</v>
      </c>
      <c r="P93" t="s">
        <v>7</v>
      </c>
    </row>
    <row r="94" spans="1:19">
      <c r="A94" t="s">
        <v>970</v>
      </c>
      <c r="B94" t="s">
        <v>983</v>
      </c>
      <c r="C94">
        <v>3.0000000000000001E-3</v>
      </c>
      <c r="D94" t="s">
        <v>757</v>
      </c>
      <c r="E94" t="s">
        <v>965</v>
      </c>
      <c r="F94" t="s">
        <v>971</v>
      </c>
      <c r="H94">
        <v>999.99900000000002</v>
      </c>
      <c r="J94">
        <v>106536725</v>
      </c>
      <c r="K94" s="2">
        <v>44291</v>
      </c>
      <c r="L94">
        <v>30</v>
      </c>
      <c r="M94">
        <v>1</v>
      </c>
      <c r="N94">
        <v>0</v>
      </c>
      <c r="O94">
        <v>1</v>
      </c>
      <c r="P94" t="s">
        <v>7</v>
      </c>
    </row>
    <row r="95" spans="1:19">
      <c r="A95" t="s">
        <v>970</v>
      </c>
      <c r="B95" t="s">
        <v>973</v>
      </c>
      <c r="C95">
        <v>8.9999999999999993E-3</v>
      </c>
      <c r="D95" t="s">
        <v>6</v>
      </c>
      <c r="E95" t="s">
        <v>965</v>
      </c>
      <c r="F95" t="s">
        <v>974</v>
      </c>
      <c r="G95" t="s">
        <v>973</v>
      </c>
      <c r="H95">
        <v>6.7930000000000001</v>
      </c>
      <c r="J95">
        <v>106596777</v>
      </c>
      <c r="K95" s="2">
        <v>44355</v>
      </c>
      <c r="L95">
        <v>21</v>
      </c>
      <c r="M95">
        <v>1</v>
      </c>
      <c r="N95">
        <v>0</v>
      </c>
      <c r="O95">
        <v>1</v>
      </c>
      <c r="P95" t="s">
        <v>7</v>
      </c>
    </row>
    <row r="96" spans="1:19">
      <c r="A96" t="s">
        <v>970</v>
      </c>
      <c r="B96" t="s">
        <v>965</v>
      </c>
      <c r="C96">
        <v>0.23</v>
      </c>
      <c r="D96" t="s">
        <v>756</v>
      </c>
      <c r="E96" t="s">
        <v>973</v>
      </c>
      <c r="F96" t="s">
        <v>976</v>
      </c>
      <c r="G96" t="s">
        <v>962</v>
      </c>
      <c r="H96">
        <v>0.23</v>
      </c>
      <c r="J96">
        <v>106634974</v>
      </c>
      <c r="K96" s="2">
        <v>44397</v>
      </c>
      <c r="L96">
        <v>21</v>
      </c>
      <c r="M96">
        <v>1</v>
      </c>
      <c r="N96">
        <v>25</v>
      </c>
      <c r="O96">
        <v>1</v>
      </c>
      <c r="P96" t="s">
        <v>8</v>
      </c>
    </row>
    <row r="97" spans="1:16">
      <c r="A97" t="s">
        <v>970</v>
      </c>
      <c r="B97" t="s">
        <v>965</v>
      </c>
      <c r="C97">
        <v>0</v>
      </c>
      <c r="E97" t="s">
        <v>973</v>
      </c>
      <c r="G97" t="s">
        <v>962</v>
      </c>
      <c r="H97">
        <v>0</v>
      </c>
      <c r="J97">
        <v>106592483</v>
      </c>
      <c r="K97" s="2">
        <v>44350</v>
      </c>
      <c r="L97">
        <v>21</v>
      </c>
      <c r="M97">
        <v>2</v>
      </c>
      <c r="N97">
        <v>8</v>
      </c>
      <c r="O97">
        <v>1</v>
      </c>
      <c r="P97" t="s">
        <v>7</v>
      </c>
    </row>
    <row r="98" spans="1:16">
      <c r="A98" t="s">
        <v>970</v>
      </c>
      <c r="B98" t="s">
        <v>965</v>
      </c>
      <c r="C98">
        <v>0.16</v>
      </c>
      <c r="D98" t="s">
        <v>756</v>
      </c>
      <c r="E98" t="s">
        <v>973</v>
      </c>
      <c r="F98" t="s">
        <v>976</v>
      </c>
      <c r="G98" t="s">
        <v>962</v>
      </c>
      <c r="H98">
        <v>0.16</v>
      </c>
      <c r="J98">
        <v>106594773</v>
      </c>
      <c r="K98" s="2">
        <v>44352</v>
      </c>
      <c r="L98">
        <v>1</v>
      </c>
      <c r="M98">
        <v>1</v>
      </c>
      <c r="N98">
        <v>0</v>
      </c>
      <c r="O98">
        <v>5</v>
      </c>
      <c r="P98" t="s">
        <v>8</v>
      </c>
    </row>
    <row r="99" spans="1:16">
      <c r="A99" t="s">
        <v>970</v>
      </c>
      <c r="B99" t="s">
        <v>965</v>
      </c>
      <c r="C99">
        <v>3.7999999999999999E-2</v>
      </c>
      <c r="D99" t="s">
        <v>756</v>
      </c>
      <c r="E99" t="s">
        <v>973</v>
      </c>
      <c r="F99" t="s">
        <v>976</v>
      </c>
      <c r="G99" t="s">
        <v>962</v>
      </c>
      <c r="H99">
        <v>3.7999999999999999E-2</v>
      </c>
      <c r="J99">
        <v>106614425</v>
      </c>
      <c r="K99" s="2">
        <v>44376</v>
      </c>
      <c r="L99">
        <v>21</v>
      </c>
      <c r="M99">
        <v>1</v>
      </c>
      <c r="N99">
        <v>0</v>
      </c>
      <c r="O99">
        <v>1</v>
      </c>
      <c r="P99" t="s">
        <v>7</v>
      </c>
    </row>
    <row r="100" spans="1:16">
      <c r="A100" t="s">
        <v>970</v>
      </c>
      <c r="B100" t="s">
        <v>965</v>
      </c>
      <c r="C100">
        <v>0.25</v>
      </c>
      <c r="D100" t="s">
        <v>756</v>
      </c>
      <c r="E100" t="s">
        <v>973</v>
      </c>
      <c r="F100" t="s">
        <v>976</v>
      </c>
      <c r="G100" t="s">
        <v>962</v>
      </c>
      <c r="H100">
        <v>0.25</v>
      </c>
      <c r="J100">
        <v>106628710</v>
      </c>
      <c r="K100" s="2">
        <v>44390</v>
      </c>
      <c r="L100">
        <v>21</v>
      </c>
      <c r="M100">
        <v>1</v>
      </c>
      <c r="N100">
        <v>0</v>
      </c>
      <c r="O100">
        <v>1</v>
      </c>
      <c r="P100" t="s">
        <v>7</v>
      </c>
    </row>
    <row r="101" spans="1:16">
      <c r="A101" t="s">
        <v>970</v>
      </c>
      <c r="B101" t="s">
        <v>965</v>
      </c>
      <c r="C101">
        <v>7.3999999999999996E-2</v>
      </c>
      <c r="D101" t="s">
        <v>758</v>
      </c>
      <c r="E101" t="s">
        <v>995</v>
      </c>
      <c r="F101" t="s">
        <v>976</v>
      </c>
      <c r="G101" t="s">
        <v>962</v>
      </c>
      <c r="H101">
        <v>0.59699999999999998</v>
      </c>
      <c r="I101" t="s">
        <v>61</v>
      </c>
      <c r="J101">
        <v>106725275</v>
      </c>
      <c r="K101" s="2">
        <v>44481</v>
      </c>
      <c r="L101">
        <v>21</v>
      </c>
      <c r="M101">
        <v>1</v>
      </c>
      <c r="N101">
        <v>0</v>
      </c>
      <c r="O101">
        <v>1</v>
      </c>
      <c r="P101" t="s">
        <v>3</v>
      </c>
    </row>
    <row r="102" spans="1:16">
      <c r="A102" t="s">
        <v>970</v>
      </c>
      <c r="B102" t="s">
        <v>965</v>
      </c>
      <c r="C102">
        <v>4.2000000000000003E-2</v>
      </c>
      <c r="D102" t="s">
        <v>758</v>
      </c>
      <c r="E102" t="s">
        <v>973</v>
      </c>
      <c r="F102" t="s">
        <v>976</v>
      </c>
      <c r="G102" t="s">
        <v>962</v>
      </c>
      <c r="H102">
        <v>0</v>
      </c>
      <c r="J102">
        <v>107482671</v>
      </c>
      <c r="K102" s="2">
        <v>45203</v>
      </c>
      <c r="L102">
        <v>21</v>
      </c>
      <c r="M102">
        <v>1</v>
      </c>
      <c r="N102">
        <v>0</v>
      </c>
      <c r="O102">
        <v>1</v>
      </c>
      <c r="P102" t="s">
        <v>3</v>
      </c>
    </row>
    <row r="103" spans="1:16">
      <c r="A103" t="s">
        <v>754</v>
      </c>
      <c r="B103" t="s">
        <v>968</v>
      </c>
      <c r="C103">
        <v>0</v>
      </c>
      <c r="E103" t="s">
        <v>962</v>
      </c>
      <c r="F103" t="s">
        <v>1002</v>
      </c>
      <c r="G103" t="s">
        <v>968</v>
      </c>
      <c r="H103">
        <v>7.75</v>
      </c>
      <c r="J103">
        <v>106783591</v>
      </c>
      <c r="K103" s="2">
        <v>44526</v>
      </c>
      <c r="L103">
        <v>21</v>
      </c>
      <c r="M103">
        <v>2</v>
      </c>
      <c r="N103">
        <v>7</v>
      </c>
      <c r="O103">
        <v>1</v>
      </c>
      <c r="P103" t="s">
        <v>3</v>
      </c>
    </row>
    <row r="104" spans="1:16">
      <c r="A104" t="s">
        <v>970</v>
      </c>
      <c r="B104" t="s">
        <v>973</v>
      </c>
      <c r="C104">
        <v>0</v>
      </c>
      <c r="E104" t="s">
        <v>965</v>
      </c>
      <c r="G104" t="s">
        <v>973</v>
      </c>
      <c r="H104">
        <v>6.8019999999999996</v>
      </c>
      <c r="J104">
        <v>106750298</v>
      </c>
      <c r="K104" s="2">
        <v>44501</v>
      </c>
      <c r="L104">
        <v>21</v>
      </c>
      <c r="M104">
        <v>1</v>
      </c>
      <c r="N104">
        <v>7</v>
      </c>
      <c r="O104">
        <v>1</v>
      </c>
      <c r="P104" t="s">
        <v>7</v>
      </c>
    </row>
    <row r="105" spans="1:16">
      <c r="A105" t="s">
        <v>970</v>
      </c>
      <c r="B105" t="s">
        <v>962</v>
      </c>
      <c r="C105">
        <v>0.1</v>
      </c>
      <c r="D105" t="s">
        <v>758</v>
      </c>
      <c r="E105" t="s">
        <v>983</v>
      </c>
      <c r="F105" t="s">
        <v>976</v>
      </c>
      <c r="G105" t="s">
        <v>962</v>
      </c>
      <c r="H105">
        <v>0.79500000000000004</v>
      </c>
      <c r="J105">
        <v>106766819</v>
      </c>
      <c r="K105" s="2">
        <v>44510</v>
      </c>
      <c r="L105">
        <v>17</v>
      </c>
      <c r="M105">
        <v>1</v>
      </c>
      <c r="N105">
        <v>0</v>
      </c>
      <c r="O105">
        <v>5</v>
      </c>
      <c r="P105" t="s">
        <v>7</v>
      </c>
    </row>
    <row r="106" spans="1:16">
      <c r="A106" t="s">
        <v>970</v>
      </c>
      <c r="B106" t="s">
        <v>965</v>
      </c>
      <c r="C106">
        <v>0</v>
      </c>
      <c r="E106" t="s">
        <v>971</v>
      </c>
      <c r="G106" t="s">
        <v>962</v>
      </c>
      <c r="H106">
        <v>1.0409999999999999</v>
      </c>
      <c r="J106">
        <v>107817331</v>
      </c>
      <c r="K106" s="2">
        <v>45516</v>
      </c>
      <c r="L106">
        <v>23</v>
      </c>
      <c r="M106">
        <v>1</v>
      </c>
      <c r="O106">
        <v>1</v>
      </c>
      <c r="P106" t="s">
        <v>3</v>
      </c>
    </row>
    <row r="107" spans="1:16">
      <c r="A107" t="s">
        <v>970</v>
      </c>
      <c r="B107" t="s">
        <v>965</v>
      </c>
      <c r="C107">
        <v>0</v>
      </c>
      <c r="E107" t="s">
        <v>972</v>
      </c>
      <c r="F107" t="s">
        <v>981</v>
      </c>
      <c r="G107" t="s">
        <v>962</v>
      </c>
      <c r="H107">
        <v>1.331</v>
      </c>
      <c r="J107">
        <v>107860603</v>
      </c>
      <c r="K107" s="2">
        <v>45559</v>
      </c>
      <c r="L107">
        <v>21</v>
      </c>
      <c r="M107">
        <v>1</v>
      </c>
      <c r="N107">
        <v>8</v>
      </c>
      <c r="O107">
        <v>1</v>
      </c>
      <c r="P107" t="s">
        <v>3</v>
      </c>
    </row>
    <row r="108" spans="1:16">
      <c r="A108" t="s">
        <v>970</v>
      </c>
      <c r="B108" t="s">
        <v>973</v>
      </c>
      <c r="C108">
        <v>1.9E-2</v>
      </c>
      <c r="D108" t="s">
        <v>757</v>
      </c>
      <c r="E108" t="s">
        <v>965</v>
      </c>
      <c r="F108" t="s">
        <v>974</v>
      </c>
      <c r="G108" t="s">
        <v>973</v>
      </c>
      <c r="H108">
        <v>6.8209999999999997</v>
      </c>
      <c r="J108">
        <v>107817333</v>
      </c>
      <c r="K108" s="2">
        <v>45517</v>
      </c>
      <c r="L108">
        <v>21</v>
      </c>
      <c r="M108">
        <v>1</v>
      </c>
      <c r="N108">
        <v>0</v>
      </c>
      <c r="O108">
        <v>1</v>
      </c>
      <c r="P108" t="s">
        <v>7</v>
      </c>
    </row>
    <row r="109" spans="1:16">
      <c r="A109" t="s">
        <v>754</v>
      </c>
      <c r="B109" t="s">
        <v>962</v>
      </c>
      <c r="C109">
        <v>2E-3</v>
      </c>
      <c r="D109" t="s">
        <v>758</v>
      </c>
      <c r="E109" t="s">
        <v>1003</v>
      </c>
      <c r="F109" t="s">
        <v>1004</v>
      </c>
      <c r="G109" t="s">
        <v>962</v>
      </c>
      <c r="H109">
        <v>1.9</v>
      </c>
      <c r="J109">
        <v>106820436</v>
      </c>
      <c r="K109" s="2">
        <v>44561</v>
      </c>
      <c r="L109">
        <v>21</v>
      </c>
      <c r="M109">
        <v>1</v>
      </c>
      <c r="N109">
        <v>12</v>
      </c>
      <c r="O109">
        <v>1</v>
      </c>
      <c r="P109" t="s">
        <v>3</v>
      </c>
    </row>
    <row r="110" spans="1:16">
      <c r="A110" t="s">
        <v>754</v>
      </c>
      <c r="B110" t="s">
        <v>962</v>
      </c>
      <c r="C110">
        <v>0.3</v>
      </c>
      <c r="D110" t="s">
        <v>758</v>
      </c>
      <c r="E110" t="s">
        <v>968</v>
      </c>
      <c r="F110" t="s">
        <v>973</v>
      </c>
      <c r="G110" t="s">
        <v>962</v>
      </c>
      <c r="H110">
        <v>1.8919999999999999</v>
      </c>
      <c r="J110">
        <v>106863997</v>
      </c>
      <c r="K110" s="2">
        <v>44602</v>
      </c>
      <c r="L110">
        <v>21</v>
      </c>
      <c r="M110">
        <v>1</v>
      </c>
      <c r="N110">
        <v>8</v>
      </c>
      <c r="O110">
        <v>1</v>
      </c>
      <c r="P110" t="s">
        <v>7</v>
      </c>
    </row>
    <row r="111" spans="1:16">
      <c r="A111" t="s">
        <v>970</v>
      </c>
      <c r="B111" t="s">
        <v>965</v>
      </c>
      <c r="C111">
        <v>0</v>
      </c>
      <c r="E111" t="s">
        <v>972</v>
      </c>
      <c r="G111" t="s">
        <v>962</v>
      </c>
      <c r="H111">
        <v>1.331</v>
      </c>
      <c r="J111">
        <v>106901756</v>
      </c>
      <c r="K111" s="2">
        <v>44645</v>
      </c>
      <c r="L111">
        <v>22</v>
      </c>
      <c r="M111">
        <v>1</v>
      </c>
      <c r="N111">
        <v>8</v>
      </c>
      <c r="O111">
        <v>1</v>
      </c>
      <c r="P111" t="s">
        <v>7</v>
      </c>
    </row>
    <row r="112" spans="1:16">
      <c r="A112" t="s">
        <v>970</v>
      </c>
      <c r="B112" t="s">
        <v>965</v>
      </c>
      <c r="C112">
        <v>8.9999999999999993E-3</v>
      </c>
      <c r="D112" t="s">
        <v>758</v>
      </c>
      <c r="E112" t="s">
        <v>983</v>
      </c>
      <c r="F112" t="s">
        <v>971</v>
      </c>
      <c r="G112" t="s">
        <v>962</v>
      </c>
      <c r="H112">
        <v>0.88600000000000001</v>
      </c>
      <c r="J112">
        <v>106835489</v>
      </c>
      <c r="K112" s="2">
        <v>44579</v>
      </c>
      <c r="L112">
        <v>21</v>
      </c>
      <c r="M112">
        <v>1</v>
      </c>
      <c r="N112">
        <v>8</v>
      </c>
      <c r="O112">
        <v>1</v>
      </c>
      <c r="P112" t="s">
        <v>7</v>
      </c>
    </row>
    <row r="113" spans="1:19">
      <c r="A113" t="s">
        <v>970</v>
      </c>
      <c r="B113" t="s">
        <v>965</v>
      </c>
      <c r="C113">
        <v>8.5000000000000006E-2</v>
      </c>
      <c r="D113" t="s">
        <v>758</v>
      </c>
      <c r="E113" t="s">
        <v>995</v>
      </c>
      <c r="F113" t="s">
        <v>976</v>
      </c>
      <c r="G113" t="s">
        <v>962</v>
      </c>
      <c r="H113">
        <v>0.58599999999999997</v>
      </c>
      <c r="I113" t="s">
        <v>61</v>
      </c>
      <c r="J113">
        <v>106806195</v>
      </c>
      <c r="K113" s="2">
        <v>44546</v>
      </c>
      <c r="L113">
        <v>21</v>
      </c>
      <c r="M113">
        <v>1</v>
      </c>
      <c r="N113">
        <v>0</v>
      </c>
      <c r="O113">
        <v>1</v>
      </c>
      <c r="P113" t="s">
        <v>8</v>
      </c>
    </row>
    <row r="114" spans="1:19">
      <c r="A114" t="s">
        <v>970</v>
      </c>
      <c r="B114" t="s">
        <v>965</v>
      </c>
      <c r="C114">
        <v>1.0999999999999999E-2</v>
      </c>
      <c r="D114" t="s">
        <v>756</v>
      </c>
      <c r="E114" t="s">
        <v>971</v>
      </c>
      <c r="F114" t="s">
        <v>972</v>
      </c>
      <c r="G114" t="s">
        <v>962</v>
      </c>
      <c r="H114">
        <v>1.052</v>
      </c>
      <c r="J114">
        <v>106811569</v>
      </c>
      <c r="K114" s="2">
        <v>44550</v>
      </c>
      <c r="L114">
        <v>21</v>
      </c>
      <c r="M114">
        <v>1</v>
      </c>
      <c r="N114">
        <v>0</v>
      </c>
      <c r="O114">
        <v>1</v>
      </c>
      <c r="P114" t="s">
        <v>7</v>
      </c>
    </row>
    <row r="115" spans="1:19">
      <c r="A115" t="s">
        <v>970</v>
      </c>
      <c r="B115" t="s">
        <v>973</v>
      </c>
      <c r="C115">
        <v>0</v>
      </c>
      <c r="E115" t="s">
        <v>965</v>
      </c>
      <c r="G115" t="s">
        <v>973</v>
      </c>
      <c r="H115">
        <v>6.8019999999999996</v>
      </c>
      <c r="J115">
        <v>106888816</v>
      </c>
      <c r="K115" s="2">
        <v>44632</v>
      </c>
      <c r="L115">
        <v>30</v>
      </c>
      <c r="M115">
        <v>1</v>
      </c>
      <c r="N115">
        <v>7</v>
      </c>
      <c r="O115">
        <v>1</v>
      </c>
      <c r="P115" t="s">
        <v>7</v>
      </c>
    </row>
    <row r="116" spans="1:19">
      <c r="A116" t="s">
        <v>970</v>
      </c>
      <c r="B116" t="s">
        <v>965</v>
      </c>
      <c r="C116">
        <v>0</v>
      </c>
      <c r="E116" t="s">
        <v>971</v>
      </c>
      <c r="F116" t="s">
        <v>972</v>
      </c>
      <c r="G116" t="s">
        <v>962</v>
      </c>
      <c r="H116">
        <v>1.0409999999999999</v>
      </c>
      <c r="J116">
        <v>106939216</v>
      </c>
      <c r="K116" s="2">
        <v>44680</v>
      </c>
      <c r="L116">
        <v>30</v>
      </c>
      <c r="M116">
        <v>1</v>
      </c>
      <c r="N116">
        <v>7</v>
      </c>
      <c r="O116">
        <v>1</v>
      </c>
      <c r="P116" t="s">
        <v>7</v>
      </c>
    </row>
    <row r="117" spans="1:19">
      <c r="A117" t="s">
        <v>970</v>
      </c>
      <c r="B117" t="s">
        <v>962</v>
      </c>
      <c r="C117">
        <v>0.1</v>
      </c>
      <c r="D117" t="s">
        <v>758</v>
      </c>
      <c r="E117" t="s">
        <v>968</v>
      </c>
      <c r="F117" t="s">
        <v>973</v>
      </c>
      <c r="G117" t="s">
        <v>962</v>
      </c>
      <c r="H117">
        <v>2.0920000000000001</v>
      </c>
      <c r="J117">
        <v>106889355</v>
      </c>
      <c r="K117" s="2">
        <v>44625</v>
      </c>
      <c r="L117">
        <v>21</v>
      </c>
      <c r="M117">
        <v>1</v>
      </c>
      <c r="N117">
        <v>0</v>
      </c>
      <c r="O117">
        <v>1</v>
      </c>
      <c r="P117" t="s">
        <v>7</v>
      </c>
    </row>
    <row r="118" spans="1:19">
      <c r="A118" t="s">
        <v>970</v>
      </c>
      <c r="B118" t="s">
        <v>965</v>
      </c>
      <c r="C118">
        <v>9.5000000000000001E-2</v>
      </c>
      <c r="D118" t="s">
        <v>765</v>
      </c>
      <c r="E118" t="s">
        <v>1005</v>
      </c>
      <c r="F118" t="s">
        <v>981</v>
      </c>
      <c r="H118">
        <v>999.99900000000002</v>
      </c>
      <c r="J118">
        <v>106922899</v>
      </c>
      <c r="K118" s="2">
        <v>44665</v>
      </c>
      <c r="L118">
        <v>25</v>
      </c>
      <c r="M118">
        <v>1</v>
      </c>
      <c r="N118">
        <v>0</v>
      </c>
      <c r="O118">
        <v>1</v>
      </c>
      <c r="P118" t="s">
        <v>7</v>
      </c>
    </row>
    <row r="119" spans="1:19">
      <c r="A119" t="s">
        <v>970</v>
      </c>
      <c r="B119" t="s">
        <v>965</v>
      </c>
      <c r="C119">
        <v>0.19</v>
      </c>
      <c r="D119" t="s">
        <v>756</v>
      </c>
      <c r="E119" t="s">
        <v>973</v>
      </c>
      <c r="F119" t="s">
        <v>976</v>
      </c>
      <c r="G119" t="s">
        <v>962</v>
      </c>
      <c r="H119">
        <v>0.19</v>
      </c>
      <c r="J119">
        <v>106957894</v>
      </c>
      <c r="K119" s="2">
        <v>44698</v>
      </c>
      <c r="L119">
        <v>21</v>
      </c>
      <c r="M119">
        <v>1</v>
      </c>
      <c r="N119">
        <v>0</v>
      </c>
      <c r="O119">
        <v>1</v>
      </c>
      <c r="P119" t="s">
        <v>3</v>
      </c>
    </row>
    <row r="120" spans="1:19">
      <c r="A120" t="s">
        <v>970</v>
      </c>
      <c r="B120" t="s">
        <v>965</v>
      </c>
      <c r="C120">
        <v>9.5000000000000001E-2</v>
      </c>
      <c r="D120" t="s">
        <v>6</v>
      </c>
      <c r="E120" t="s">
        <v>980</v>
      </c>
      <c r="F120" t="s">
        <v>985</v>
      </c>
      <c r="G120" t="s">
        <v>962</v>
      </c>
      <c r="H120">
        <v>1.8069999999999999</v>
      </c>
      <c r="J120">
        <v>106964506</v>
      </c>
      <c r="K120" s="2">
        <v>44704</v>
      </c>
      <c r="L120">
        <v>2</v>
      </c>
      <c r="M120">
        <v>1</v>
      </c>
      <c r="N120">
        <v>14</v>
      </c>
      <c r="O120">
        <v>5</v>
      </c>
      <c r="P120" t="s">
        <v>7</v>
      </c>
    </row>
    <row r="121" spans="1:19">
      <c r="A121" t="s">
        <v>754</v>
      </c>
      <c r="B121" t="s">
        <v>962</v>
      </c>
      <c r="C121">
        <v>4.7E-2</v>
      </c>
      <c r="D121" t="s">
        <v>756</v>
      </c>
      <c r="E121" t="s">
        <v>985</v>
      </c>
      <c r="F121" t="s">
        <v>975</v>
      </c>
      <c r="H121">
        <v>999.99900000000002</v>
      </c>
      <c r="J121">
        <v>106971805</v>
      </c>
      <c r="K121" s="2">
        <v>44698</v>
      </c>
      <c r="L121">
        <v>28</v>
      </c>
      <c r="M121">
        <v>1</v>
      </c>
      <c r="N121">
        <v>14</v>
      </c>
      <c r="O121">
        <v>1</v>
      </c>
      <c r="P121" t="s">
        <v>10</v>
      </c>
      <c r="Q121">
        <v>35.177003999999997</v>
      </c>
      <c r="R121">
        <v>-79.437830000000005</v>
      </c>
      <c r="S121" t="s">
        <v>759</v>
      </c>
    </row>
    <row r="122" spans="1:19">
      <c r="A122" t="s">
        <v>970</v>
      </c>
      <c r="B122" t="s">
        <v>965</v>
      </c>
      <c r="C122">
        <v>3.7999999999999999E-2</v>
      </c>
      <c r="D122" t="s">
        <v>756</v>
      </c>
      <c r="E122" t="s">
        <v>983</v>
      </c>
      <c r="F122" t="s">
        <v>971</v>
      </c>
      <c r="G122" t="s">
        <v>962</v>
      </c>
      <c r="H122">
        <v>0.93300000000000005</v>
      </c>
      <c r="J122">
        <v>107090127</v>
      </c>
      <c r="K122" s="2">
        <v>44805</v>
      </c>
      <c r="L122">
        <v>2</v>
      </c>
      <c r="M122">
        <v>1</v>
      </c>
      <c r="N122">
        <v>0</v>
      </c>
      <c r="O122">
        <v>1</v>
      </c>
      <c r="P122" t="s">
        <v>8</v>
      </c>
    </row>
    <row r="123" spans="1:19">
      <c r="A123" t="s">
        <v>970</v>
      </c>
      <c r="B123" t="s">
        <v>965</v>
      </c>
      <c r="C123">
        <v>0</v>
      </c>
      <c r="E123" t="s">
        <v>971</v>
      </c>
      <c r="F123" t="s">
        <v>995</v>
      </c>
      <c r="G123" t="s">
        <v>962</v>
      </c>
      <c r="H123">
        <v>1.0409999999999999</v>
      </c>
      <c r="J123">
        <v>106995108</v>
      </c>
      <c r="K123" s="2">
        <v>44733</v>
      </c>
      <c r="L123">
        <v>21</v>
      </c>
      <c r="M123">
        <v>1</v>
      </c>
      <c r="N123">
        <v>7</v>
      </c>
      <c r="O123">
        <v>1</v>
      </c>
      <c r="P123" t="s">
        <v>3</v>
      </c>
    </row>
    <row r="124" spans="1:19">
      <c r="A124" t="s">
        <v>970</v>
      </c>
      <c r="B124" t="s">
        <v>965</v>
      </c>
      <c r="C124">
        <v>0.1</v>
      </c>
      <c r="D124" t="s">
        <v>756</v>
      </c>
      <c r="E124" t="s">
        <v>973</v>
      </c>
      <c r="F124" t="s">
        <v>976</v>
      </c>
      <c r="G124" t="s">
        <v>962</v>
      </c>
      <c r="H124">
        <v>0.1</v>
      </c>
      <c r="J124">
        <v>107090136</v>
      </c>
      <c r="K124" s="2">
        <v>44829</v>
      </c>
      <c r="L124">
        <v>1</v>
      </c>
      <c r="M124">
        <v>1</v>
      </c>
      <c r="N124">
        <v>0</v>
      </c>
      <c r="O124">
        <v>5</v>
      </c>
      <c r="P124" t="s">
        <v>7</v>
      </c>
    </row>
    <row r="125" spans="1:19">
      <c r="A125" t="s">
        <v>970</v>
      </c>
      <c r="B125" t="s">
        <v>965</v>
      </c>
      <c r="C125">
        <v>0</v>
      </c>
      <c r="E125" t="s">
        <v>972</v>
      </c>
      <c r="F125" t="s">
        <v>971</v>
      </c>
      <c r="G125" t="s">
        <v>962</v>
      </c>
      <c r="H125">
        <v>1.331</v>
      </c>
      <c r="J125">
        <v>107122160</v>
      </c>
      <c r="K125" s="2">
        <v>44858</v>
      </c>
      <c r="L125">
        <v>17</v>
      </c>
      <c r="M125">
        <v>1</v>
      </c>
      <c r="N125">
        <v>8</v>
      </c>
      <c r="O125">
        <v>5</v>
      </c>
      <c r="P125" t="s">
        <v>7</v>
      </c>
    </row>
    <row r="126" spans="1:19">
      <c r="A126" t="s">
        <v>970</v>
      </c>
      <c r="B126" t="s">
        <v>965</v>
      </c>
      <c r="C126">
        <v>0.3</v>
      </c>
      <c r="D126" t="s">
        <v>762</v>
      </c>
      <c r="E126" t="s">
        <v>971</v>
      </c>
      <c r="F126" t="s">
        <v>968</v>
      </c>
      <c r="G126" t="s">
        <v>962</v>
      </c>
      <c r="H126">
        <v>1.341</v>
      </c>
      <c r="J126">
        <v>107038594</v>
      </c>
      <c r="K126" s="2">
        <v>44780</v>
      </c>
      <c r="L126">
        <v>17</v>
      </c>
      <c r="M126">
        <v>1</v>
      </c>
      <c r="N126">
        <v>0</v>
      </c>
      <c r="O126">
        <v>5</v>
      </c>
      <c r="P126" t="s">
        <v>7</v>
      </c>
    </row>
    <row r="127" spans="1:19">
      <c r="A127" t="s">
        <v>970</v>
      </c>
      <c r="B127" t="s">
        <v>965</v>
      </c>
      <c r="C127">
        <v>0.5</v>
      </c>
      <c r="D127" t="s">
        <v>765</v>
      </c>
      <c r="E127" t="s">
        <v>976</v>
      </c>
      <c r="F127" t="s">
        <v>973</v>
      </c>
      <c r="G127" t="s">
        <v>962</v>
      </c>
      <c r="H127">
        <v>9.0999999999999998E-2</v>
      </c>
      <c r="J127">
        <v>107025838</v>
      </c>
      <c r="K127" s="2">
        <v>44767</v>
      </c>
      <c r="L127">
        <v>21</v>
      </c>
      <c r="M127">
        <v>1</v>
      </c>
      <c r="N127">
        <v>0</v>
      </c>
      <c r="O127">
        <v>1</v>
      </c>
      <c r="P127" t="s">
        <v>7</v>
      </c>
    </row>
    <row r="128" spans="1:19">
      <c r="A128" t="s">
        <v>970</v>
      </c>
      <c r="B128" t="s">
        <v>962</v>
      </c>
      <c r="C128">
        <v>5.7000000000000002E-2</v>
      </c>
      <c r="D128" t="s">
        <v>758</v>
      </c>
      <c r="E128" t="s">
        <v>985</v>
      </c>
      <c r="F128" t="s">
        <v>980</v>
      </c>
      <c r="H128">
        <v>999.99900000000002</v>
      </c>
      <c r="J128">
        <v>107035678</v>
      </c>
      <c r="K128" s="2">
        <v>44761</v>
      </c>
      <c r="L128">
        <v>28</v>
      </c>
      <c r="M128">
        <v>1</v>
      </c>
      <c r="N128">
        <v>0</v>
      </c>
      <c r="O128">
        <v>1</v>
      </c>
      <c r="P128" t="s">
        <v>7</v>
      </c>
    </row>
    <row r="129" spans="1:16">
      <c r="A129" t="s">
        <v>754</v>
      </c>
      <c r="B129" t="s">
        <v>962</v>
      </c>
      <c r="C129">
        <v>7.0000000000000001E-3</v>
      </c>
      <c r="D129" t="s">
        <v>6</v>
      </c>
      <c r="E129" t="s">
        <v>1006</v>
      </c>
      <c r="F129" t="s">
        <v>980</v>
      </c>
      <c r="H129">
        <v>999.99900000000002</v>
      </c>
      <c r="J129">
        <v>107083148</v>
      </c>
      <c r="K129" s="2">
        <v>44815</v>
      </c>
      <c r="L129">
        <v>23</v>
      </c>
      <c r="M129">
        <v>1</v>
      </c>
      <c r="N129">
        <v>8</v>
      </c>
      <c r="O129">
        <v>1</v>
      </c>
      <c r="P129" t="s">
        <v>7</v>
      </c>
    </row>
    <row r="130" spans="1:16">
      <c r="A130" t="s">
        <v>970</v>
      </c>
      <c r="B130" t="s">
        <v>973</v>
      </c>
      <c r="C130">
        <v>1.9E-2</v>
      </c>
      <c r="D130" t="s">
        <v>6</v>
      </c>
      <c r="E130" t="s">
        <v>965</v>
      </c>
      <c r="F130" t="s">
        <v>974</v>
      </c>
      <c r="G130" t="s">
        <v>973</v>
      </c>
      <c r="H130">
        <v>6.7830000000000004</v>
      </c>
      <c r="J130">
        <v>107246029</v>
      </c>
      <c r="K130" s="2">
        <v>44971</v>
      </c>
      <c r="L130">
        <v>21</v>
      </c>
      <c r="M130">
        <v>1</v>
      </c>
      <c r="N130">
        <v>7</v>
      </c>
      <c r="O130">
        <v>1</v>
      </c>
      <c r="P130" t="s">
        <v>7</v>
      </c>
    </row>
    <row r="131" spans="1:16">
      <c r="A131" t="s">
        <v>970</v>
      </c>
      <c r="B131" t="s">
        <v>965</v>
      </c>
      <c r="C131">
        <v>5.8999999999999997E-2</v>
      </c>
      <c r="D131" t="s">
        <v>762</v>
      </c>
      <c r="E131" t="s">
        <v>973</v>
      </c>
      <c r="F131" t="s">
        <v>976</v>
      </c>
      <c r="G131" t="s">
        <v>962</v>
      </c>
      <c r="H131">
        <v>5.8999999999999997E-2</v>
      </c>
      <c r="J131">
        <v>107191838</v>
      </c>
      <c r="K131" s="2">
        <v>44917</v>
      </c>
      <c r="L131">
        <v>21</v>
      </c>
      <c r="M131">
        <v>2</v>
      </c>
      <c r="N131">
        <v>0</v>
      </c>
      <c r="O131">
        <v>1</v>
      </c>
      <c r="P131" t="s">
        <v>7</v>
      </c>
    </row>
    <row r="132" spans="1:16">
      <c r="A132" t="s">
        <v>970</v>
      </c>
      <c r="B132" t="s">
        <v>965</v>
      </c>
      <c r="C132">
        <v>0</v>
      </c>
      <c r="E132" t="s">
        <v>971</v>
      </c>
      <c r="G132" t="s">
        <v>962</v>
      </c>
      <c r="H132">
        <v>1.0409999999999999</v>
      </c>
      <c r="J132">
        <v>107331335</v>
      </c>
      <c r="K132" s="2">
        <v>45057</v>
      </c>
      <c r="L132">
        <v>30</v>
      </c>
      <c r="M132">
        <v>1</v>
      </c>
      <c r="N132">
        <v>7</v>
      </c>
      <c r="O132">
        <v>1</v>
      </c>
      <c r="P132" t="s">
        <v>8</v>
      </c>
    </row>
    <row r="133" spans="1:16">
      <c r="A133" t="s">
        <v>970</v>
      </c>
      <c r="B133" t="s">
        <v>965</v>
      </c>
      <c r="C133">
        <v>4.0000000000000001E-3</v>
      </c>
      <c r="D133" t="s">
        <v>756</v>
      </c>
      <c r="E133" t="s">
        <v>971</v>
      </c>
      <c r="F133" t="s">
        <v>972</v>
      </c>
      <c r="G133" t="s">
        <v>962</v>
      </c>
      <c r="H133">
        <v>1.0449999999999999</v>
      </c>
      <c r="J133">
        <v>107331337</v>
      </c>
      <c r="K133" s="2">
        <v>45057</v>
      </c>
      <c r="L133">
        <v>28</v>
      </c>
      <c r="M133">
        <v>1</v>
      </c>
      <c r="N133">
        <v>7</v>
      </c>
      <c r="O133">
        <v>1</v>
      </c>
      <c r="P133" t="s">
        <v>7</v>
      </c>
    </row>
    <row r="134" spans="1:16">
      <c r="A134" t="s">
        <v>970</v>
      </c>
      <c r="B134" t="s">
        <v>965</v>
      </c>
      <c r="C134">
        <v>0</v>
      </c>
      <c r="E134" t="s">
        <v>978</v>
      </c>
      <c r="F134" t="s">
        <v>980</v>
      </c>
      <c r="H134">
        <v>999.99900000000002</v>
      </c>
      <c r="J134">
        <v>107331336</v>
      </c>
      <c r="K134" s="2">
        <v>45057</v>
      </c>
      <c r="L134">
        <v>30</v>
      </c>
      <c r="M134">
        <v>1</v>
      </c>
      <c r="N134">
        <v>7</v>
      </c>
      <c r="O134">
        <v>1</v>
      </c>
      <c r="P134" t="s">
        <v>7</v>
      </c>
    </row>
    <row r="135" spans="1:16">
      <c r="A135" t="s">
        <v>970</v>
      </c>
      <c r="B135" t="s">
        <v>965</v>
      </c>
      <c r="C135">
        <v>0.19</v>
      </c>
      <c r="D135" t="s">
        <v>756</v>
      </c>
      <c r="E135" t="s">
        <v>971</v>
      </c>
      <c r="F135" t="s">
        <v>972</v>
      </c>
      <c r="G135" t="s">
        <v>962</v>
      </c>
      <c r="H135">
        <v>1.2310000000000001</v>
      </c>
      <c r="J135">
        <v>107213186</v>
      </c>
      <c r="K135" s="2">
        <v>44941</v>
      </c>
      <c r="L135">
        <v>21</v>
      </c>
      <c r="M135">
        <v>1</v>
      </c>
      <c r="N135">
        <v>0</v>
      </c>
      <c r="O135">
        <v>1</v>
      </c>
      <c r="P135" t="s">
        <v>3</v>
      </c>
    </row>
    <row r="136" spans="1:16">
      <c r="A136" t="s">
        <v>970</v>
      </c>
      <c r="B136" t="s">
        <v>965</v>
      </c>
      <c r="C136">
        <v>0</v>
      </c>
      <c r="E136" t="s">
        <v>980</v>
      </c>
      <c r="F136" t="s">
        <v>1007</v>
      </c>
      <c r="G136" t="s">
        <v>962</v>
      </c>
      <c r="H136">
        <v>1.712</v>
      </c>
      <c r="J136">
        <v>108126315</v>
      </c>
      <c r="K136" s="2">
        <v>45806</v>
      </c>
      <c r="L136">
        <v>30</v>
      </c>
      <c r="M136">
        <v>1</v>
      </c>
      <c r="N136">
        <v>7</v>
      </c>
      <c r="O136">
        <v>1</v>
      </c>
      <c r="P136" t="s">
        <v>8</v>
      </c>
    </row>
    <row r="137" spans="1:16">
      <c r="A137" t="s">
        <v>970</v>
      </c>
      <c r="B137" t="s">
        <v>965</v>
      </c>
      <c r="C137">
        <v>0.2</v>
      </c>
      <c r="D137" t="s">
        <v>762</v>
      </c>
      <c r="E137" t="s">
        <v>973</v>
      </c>
      <c r="F137" t="s">
        <v>976</v>
      </c>
      <c r="G137" t="s">
        <v>962</v>
      </c>
      <c r="H137">
        <v>0.2</v>
      </c>
      <c r="J137">
        <v>107277046</v>
      </c>
      <c r="K137" s="2">
        <v>45002</v>
      </c>
      <c r="L137">
        <v>1</v>
      </c>
      <c r="M137">
        <v>1</v>
      </c>
      <c r="N137">
        <v>0</v>
      </c>
      <c r="O137">
        <v>1</v>
      </c>
      <c r="P137" t="s">
        <v>7</v>
      </c>
    </row>
    <row r="138" spans="1:16">
      <c r="A138" t="s">
        <v>970</v>
      </c>
      <c r="B138" t="s">
        <v>965</v>
      </c>
      <c r="C138">
        <v>0.05</v>
      </c>
      <c r="D138" t="s">
        <v>756</v>
      </c>
      <c r="E138" t="s">
        <v>973</v>
      </c>
      <c r="F138" t="s">
        <v>1008</v>
      </c>
      <c r="G138" t="s">
        <v>962</v>
      </c>
      <c r="H138">
        <v>0.05</v>
      </c>
      <c r="J138">
        <v>107361950</v>
      </c>
      <c r="K138" s="2">
        <v>45088</v>
      </c>
      <c r="L138">
        <v>19</v>
      </c>
      <c r="M138">
        <v>1</v>
      </c>
      <c r="N138">
        <v>0</v>
      </c>
      <c r="O138">
        <v>1</v>
      </c>
      <c r="P138" t="s">
        <v>7</v>
      </c>
    </row>
    <row r="139" spans="1:16">
      <c r="A139" t="s">
        <v>970</v>
      </c>
      <c r="B139" t="s">
        <v>965</v>
      </c>
      <c r="C139">
        <v>0.47</v>
      </c>
      <c r="D139" t="s">
        <v>758</v>
      </c>
      <c r="E139" t="s">
        <v>976</v>
      </c>
      <c r="F139" t="s">
        <v>973</v>
      </c>
      <c r="G139" t="s">
        <v>962</v>
      </c>
      <c r="H139">
        <v>0.121</v>
      </c>
      <c r="J139">
        <v>107564934</v>
      </c>
      <c r="K139" s="2">
        <v>45273</v>
      </c>
      <c r="L139">
        <v>21</v>
      </c>
      <c r="M139">
        <v>1</v>
      </c>
      <c r="N139">
        <v>0</v>
      </c>
      <c r="O139">
        <v>2</v>
      </c>
      <c r="P139" t="s">
        <v>7</v>
      </c>
    </row>
    <row r="140" spans="1:16">
      <c r="A140" t="s">
        <v>970</v>
      </c>
      <c r="B140" t="s">
        <v>965</v>
      </c>
      <c r="C140">
        <v>0.32</v>
      </c>
      <c r="D140" t="s">
        <v>758</v>
      </c>
      <c r="E140" t="s">
        <v>976</v>
      </c>
      <c r="F140" t="s">
        <v>973</v>
      </c>
      <c r="G140" t="s">
        <v>962</v>
      </c>
      <c r="H140">
        <v>0.27100000000000002</v>
      </c>
      <c r="J140">
        <v>107344317</v>
      </c>
      <c r="K140" s="2">
        <v>45068</v>
      </c>
      <c r="L140">
        <v>21</v>
      </c>
      <c r="M140">
        <v>1</v>
      </c>
      <c r="N140">
        <v>0</v>
      </c>
      <c r="O140">
        <v>1</v>
      </c>
      <c r="P140" t="s">
        <v>3</v>
      </c>
    </row>
    <row r="141" spans="1:16">
      <c r="A141" t="s">
        <v>970</v>
      </c>
      <c r="B141" t="s">
        <v>965</v>
      </c>
      <c r="C141">
        <v>0.22</v>
      </c>
      <c r="D141" t="s">
        <v>756</v>
      </c>
      <c r="E141" t="s">
        <v>973</v>
      </c>
      <c r="F141" t="s">
        <v>976</v>
      </c>
      <c r="G141" t="s">
        <v>962</v>
      </c>
      <c r="H141">
        <v>0.22</v>
      </c>
      <c r="J141">
        <v>107430799</v>
      </c>
      <c r="K141" s="2">
        <v>45158</v>
      </c>
      <c r="L141">
        <v>21</v>
      </c>
      <c r="M141">
        <v>1</v>
      </c>
      <c r="N141">
        <v>0</v>
      </c>
      <c r="O141">
        <v>1</v>
      </c>
      <c r="P141" t="s">
        <v>7</v>
      </c>
    </row>
    <row r="142" spans="1:16">
      <c r="A142" t="s">
        <v>970</v>
      </c>
      <c r="B142" t="s">
        <v>973</v>
      </c>
      <c r="C142">
        <v>0</v>
      </c>
      <c r="E142" t="s">
        <v>965</v>
      </c>
      <c r="F142" t="s">
        <v>974</v>
      </c>
      <c r="G142" t="s">
        <v>973</v>
      </c>
      <c r="H142">
        <v>6.8019999999999996</v>
      </c>
      <c r="J142">
        <v>107453797</v>
      </c>
      <c r="K142" s="2">
        <v>45180</v>
      </c>
      <c r="L142">
        <v>23</v>
      </c>
      <c r="M142">
        <v>1</v>
      </c>
      <c r="N142">
        <v>7</v>
      </c>
      <c r="O142">
        <v>5</v>
      </c>
      <c r="P142" t="s">
        <v>3</v>
      </c>
    </row>
    <row r="143" spans="1:16">
      <c r="A143" t="s">
        <v>970</v>
      </c>
      <c r="B143" t="s">
        <v>965</v>
      </c>
      <c r="C143">
        <v>0.22</v>
      </c>
      <c r="D143" t="s">
        <v>762</v>
      </c>
      <c r="E143" t="s">
        <v>981</v>
      </c>
      <c r="F143" t="s">
        <v>980</v>
      </c>
      <c r="G143" t="s">
        <v>962</v>
      </c>
      <c r="H143">
        <v>1.631</v>
      </c>
      <c r="J143">
        <v>107418388</v>
      </c>
      <c r="K143" s="2">
        <v>45143</v>
      </c>
      <c r="L143">
        <v>28</v>
      </c>
      <c r="M143">
        <v>1</v>
      </c>
      <c r="N143">
        <v>0</v>
      </c>
      <c r="O143">
        <v>1</v>
      </c>
      <c r="P143" t="s">
        <v>7</v>
      </c>
    </row>
    <row r="144" spans="1:16">
      <c r="A144" t="s">
        <v>970</v>
      </c>
      <c r="B144" t="s">
        <v>965</v>
      </c>
      <c r="C144">
        <v>0.06</v>
      </c>
      <c r="D144" t="s">
        <v>758</v>
      </c>
      <c r="E144" t="s">
        <v>980</v>
      </c>
      <c r="F144" t="s">
        <v>1009</v>
      </c>
      <c r="G144" t="s">
        <v>962</v>
      </c>
      <c r="H144">
        <v>1.6519999999999999</v>
      </c>
      <c r="J144">
        <v>107482672</v>
      </c>
      <c r="K144" s="2">
        <v>45204</v>
      </c>
      <c r="L144">
        <v>28</v>
      </c>
      <c r="M144">
        <v>1</v>
      </c>
      <c r="N144">
        <v>0</v>
      </c>
      <c r="O144">
        <v>1</v>
      </c>
      <c r="P144" t="s">
        <v>7</v>
      </c>
    </row>
    <row r="145" spans="1:19">
      <c r="A145" t="s">
        <v>970</v>
      </c>
      <c r="B145" t="s">
        <v>965</v>
      </c>
      <c r="C145">
        <v>5.8999999999999997E-2</v>
      </c>
      <c r="D145" t="s">
        <v>756</v>
      </c>
      <c r="E145" t="s">
        <v>983</v>
      </c>
      <c r="F145" t="s">
        <v>971</v>
      </c>
      <c r="G145" t="s">
        <v>962</v>
      </c>
      <c r="H145">
        <v>0.95399999999999996</v>
      </c>
      <c r="J145">
        <v>107397257</v>
      </c>
      <c r="K145" s="2">
        <v>45120</v>
      </c>
      <c r="L145">
        <v>21</v>
      </c>
      <c r="M145">
        <v>1</v>
      </c>
      <c r="N145">
        <v>0</v>
      </c>
      <c r="O145">
        <v>1</v>
      </c>
      <c r="P145" t="s">
        <v>7</v>
      </c>
    </row>
    <row r="146" spans="1:19">
      <c r="A146" t="s">
        <v>970</v>
      </c>
      <c r="B146" t="s">
        <v>965</v>
      </c>
      <c r="C146">
        <v>0</v>
      </c>
      <c r="E146" t="s">
        <v>981</v>
      </c>
      <c r="F146" t="s">
        <v>972</v>
      </c>
      <c r="G146" t="s">
        <v>962</v>
      </c>
      <c r="H146">
        <v>1.411</v>
      </c>
      <c r="J146">
        <v>107515439</v>
      </c>
      <c r="K146" s="2">
        <v>45234</v>
      </c>
      <c r="L146">
        <v>30</v>
      </c>
      <c r="M146">
        <v>1</v>
      </c>
      <c r="N146">
        <v>8</v>
      </c>
      <c r="O146">
        <v>1</v>
      </c>
      <c r="P146" t="s">
        <v>7</v>
      </c>
    </row>
    <row r="147" spans="1:19">
      <c r="A147" t="s">
        <v>754</v>
      </c>
      <c r="B147" t="s">
        <v>968</v>
      </c>
      <c r="C147">
        <v>0</v>
      </c>
      <c r="E147" t="s">
        <v>962</v>
      </c>
      <c r="F147" t="s">
        <v>969</v>
      </c>
      <c r="G147" t="s">
        <v>968</v>
      </c>
      <c r="H147">
        <v>7.75</v>
      </c>
      <c r="J147">
        <v>107491626</v>
      </c>
      <c r="K147" s="2">
        <v>45209</v>
      </c>
      <c r="L147">
        <v>30</v>
      </c>
      <c r="M147">
        <v>1</v>
      </c>
      <c r="N147">
        <v>7</v>
      </c>
      <c r="O147">
        <v>4</v>
      </c>
      <c r="P147" t="s">
        <v>8</v>
      </c>
      <c r="Q147">
        <v>35.170140000000004</v>
      </c>
      <c r="R147">
        <v>-79.405959999999993</v>
      </c>
      <c r="S147" t="s">
        <v>761</v>
      </c>
    </row>
    <row r="148" spans="1:19">
      <c r="A148" t="s">
        <v>970</v>
      </c>
      <c r="B148" t="s">
        <v>971</v>
      </c>
      <c r="C148">
        <v>0</v>
      </c>
      <c r="E148" t="s">
        <v>965</v>
      </c>
      <c r="F148" t="s">
        <v>994</v>
      </c>
      <c r="G148" t="s">
        <v>962</v>
      </c>
      <c r="H148">
        <v>1.0409999999999999</v>
      </c>
      <c r="J148">
        <v>107614732</v>
      </c>
      <c r="K148" s="2">
        <v>45324</v>
      </c>
      <c r="L148">
        <v>24</v>
      </c>
      <c r="M148">
        <v>1</v>
      </c>
      <c r="N148">
        <v>7</v>
      </c>
      <c r="O148">
        <v>4</v>
      </c>
      <c r="P148" t="s">
        <v>7</v>
      </c>
    </row>
    <row r="149" spans="1:19">
      <c r="A149" t="s">
        <v>970</v>
      </c>
      <c r="B149" t="s">
        <v>965</v>
      </c>
      <c r="C149">
        <v>0</v>
      </c>
      <c r="E149" t="s">
        <v>973</v>
      </c>
      <c r="F149" t="s">
        <v>1010</v>
      </c>
      <c r="G149" t="s">
        <v>962</v>
      </c>
      <c r="H149">
        <v>0</v>
      </c>
      <c r="J149">
        <v>107366351</v>
      </c>
      <c r="K149" s="2">
        <v>45091</v>
      </c>
      <c r="L149">
        <v>31</v>
      </c>
      <c r="M149">
        <v>1</v>
      </c>
      <c r="N149">
        <v>22</v>
      </c>
      <c r="O149">
        <v>1</v>
      </c>
      <c r="P149" t="s">
        <v>7</v>
      </c>
    </row>
    <row r="150" spans="1:19">
      <c r="A150" t="s">
        <v>970</v>
      </c>
      <c r="B150" t="s">
        <v>965</v>
      </c>
      <c r="C150">
        <v>0</v>
      </c>
      <c r="E150" t="s">
        <v>1001</v>
      </c>
      <c r="F150" t="s">
        <v>985</v>
      </c>
      <c r="H150">
        <v>999.99900000000002</v>
      </c>
      <c r="J150">
        <v>107627154</v>
      </c>
      <c r="K150" s="2">
        <v>45338</v>
      </c>
      <c r="L150">
        <v>30</v>
      </c>
      <c r="M150">
        <v>1</v>
      </c>
      <c r="N150">
        <v>7</v>
      </c>
      <c r="O150">
        <v>1</v>
      </c>
      <c r="P150" t="s">
        <v>8</v>
      </c>
    </row>
    <row r="151" spans="1:19">
      <c r="A151" t="s">
        <v>970</v>
      </c>
      <c r="B151" t="s">
        <v>965</v>
      </c>
      <c r="C151">
        <v>0</v>
      </c>
      <c r="E151" t="s">
        <v>984</v>
      </c>
      <c r="F151" t="s">
        <v>978</v>
      </c>
      <c r="H151">
        <v>999.99900000000002</v>
      </c>
      <c r="J151">
        <v>107983295</v>
      </c>
      <c r="K151" s="2">
        <v>45665</v>
      </c>
      <c r="L151">
        <v>30</v>
      </c>
      <c r="M151">
        <v>1</v>
      </c>
      <c r="N151">
        <v>7</v>
      </c>
      <c r="O151">
        <v>1</v>
      </c>
      <c r="P151" t="s">
        <v>7</v>
      </c>
    </row>
    <row r="152" spans="1:19">
      <c r="A152" t="s">
        <v>970</v>
      </c>
      <c r="B152" t="s">
        <v>965</v>
      </c>
      <c r="C152">
        <v>0.05</v>
      </c>
      <c r="D152" t="s">
        <v>762</v>
      </c>
      <c r="E152" t="s">
        <v>973</v>
      </c>
      <c r="F152" t="s">
        <v>976</v>
      </c>
      <c r="G152" t="s">
        <v>962</v>
      </c>
      <c r="H152">
        <v>0.05</v>
      </c>
      <c r="J152">
        <v>107693399</v>
      </c>
      <c r="K152" s="2">
        <v>45399</v>
      </c>
      <c r="L152">
        <v>21</v>
      </c>
      <c r="M152">
        <v>1</v>
      </c>
      <c r="N152">
        <v>0</v>
      </c>
      <c r="O152">
        <v>1</v>
      </c>
      <c r="P152" t="s">
        <v>3</v>
      </c>
    </row>
    <row r="153" spans="1:19">
      <c r="A153" t="s">
        <v>970</v>
      </c>
      <c r="B153" t="s">
        <v>965</v>
      </c>
      <c r="C153">
        <v>0</v>
      </c>
      <c r="E153" t="s">
        <v>972</v>
      </c>
      <c r="F153" t="s">
        <v>981</v>
      </c>
      <c r="G153" t="s">
        <v>962</v>
      </c>
      <c r="H153">
        <v>1.331</v>
      </c>
      <c r="J153">
        <v>107693402</v>
      </c>
      <c r="K153" s="2">
        <v>45400</v>
      </c>
      <c r="L153">
        <v>21</v>
      </c>
      <c r="M153">
        <v>1</v>
      </c>
      <c r="N153">
        <v>0</v>
      </c>
      <c r="O153">
        <v>1</v>
      </c>
      <c r="P153" t="s">
        <v>7</v>
      </c>
    </row>
    <row r="154" spans="1:19">
      <c r="A154" t="s">
        <v>970</v>
      </c>
      <c r="B154" t="s">
        <v>965</v>
      </c>
      <c r="C154">
        <v>0.55000000000000004</v>
      </c>
      <c r="D154" t="s">
        <v>765</v>
      </c>
      <c r="E154" t="s">
        <v>976</v>
      </c>
      <c r="F154" t="s">
        <v>973</v>
      </c>
      <c r="G154" t="s">
        <v>962</v>
      </c>
      <c r="H154">
        <v>4.1000000000000002E-2</v>
      </c>
      <c r="J154">
        <v>107693400</v>
      </c>
      <c r="K154" s="2">
        <v>45399</v>
      </c>
      <c r="L154">
        <v>21</v>
      </c>
      <c r="M154">
        <v>1</v>
      </c>
      <c r="N154">
        <v>0</v>
      </c>
      <c r="O154">
        <v>1</v>
      </c>
      <c r="P154" t="s">
        <v>7</v>
      </c>
    </row>
    <row r="155" spans="1:19">
      <c r="A155" t="s">
        <v>970</v>
      </c>
      <c r="B155" t="s">
        <v>965</v>
      </c>
      <c r="C155">
        <v>0</v>
      </c>
      <c r="E155" t="s">
        <v>973</v>
      </c>
      <c r="F155" t="s">
        <v>1011</v>
      </c>
      <c r="G155" t="s">
        <v>962</v>
      </c>
      <c r="H155">
        <v>0</v>
      </c>
      <c r="J155">
        <v>107787982</v>
      </c>
      <c r="K155" s="2">
        <v>45488</v>
      </c>
      <c r="L155">
        <v>30</v>
      </c>
      <c r="M155">
        <v>1</v>
      </c>
      <c r="N155">
        <v>7</v>
      </c>
      <c r="O155">
        <v>1</v>
      </c>
      <c r="P155" t="s">
        <v>7</v>
      </c>
    </row>
    <row r="156" spans="1:19">
      <c r="A156" t="s">
        <v>970</v>
      </c>
      <c r="B156" t="s">
        <v>973</v>
      </c>
      <c r="C156">
        <v>1.9E-2</v>
      </c>
      <c r="D156" t="s">
        <v>757</v>
      </c>
      <c r="E156" t="s">
        <v>965</v>
      </c>
      <c r="F156" t="s">
        <v>969</v>
      </c>
      <c r="G156" t="s">
        <v>973</v>
      </c>
      <c r="H156">
        <v>6.8209999999999997</v>
      </c>
      <c r="J156">
        <v>107761990</v>
      </c>
      <c r="K156" s="2">
        <v>45463</v>
      </c>
      <c r="L156">
        <v>31</v>
      </c>
      <c r="M156">
        <v>1</v>
      </c>
      <c r="N156">
        <v>0</v>
      </c>
      <c r="O156">
        <v>1</v>
      </c>
      <c r="P156" t="s">
        <v>7</v>
      </c>
    </row>
    <row r="157" spans="1:19">
      <c r="A157" t="s">
        <v>970</v>
      </c>
      <c r="B157" t="s">
        <v>965</v>
      </c>
      <c r="C157">
        <v>5.7000000000000002E-2</v>
      </c>
      <c r="D157" t="s">
        <v>758</v>
      </c>
      <c r="E157" t="s">
        <v>980</v>
      </c>
      <c r="F157" t="s">
        <v>981</v>
      </c>
      <c r="G157" t="s">
        <v>962</v>
      </c>
      <c r="H157">
        <v>1.655</v>
      </c>
      <c r="J157">
        <v>108163258</v>
      </c>
      <c r="K157" s="2">
        <v>45840</v>
      </c>
      <c r="L157">
        <v>28</v>
      </c>
      <c r="M157">
        <v>1</v>
      </c>
      <c r="N157">
        <v>12</v>
      </c>
      <c r="O157">
        <v>1</v>
      </c>
      <c r="P157" t="s">
        <v>7</v>
      </c>
    </row>
    <row r="158" spans="1:19">
      <c r="A158" t="s">
        <v>970</v>
      </c>
      <c r="B158" t="s">
        <v>973</v>
      </c>
      <c r="C158">
        <v>2.8000000000000001E-2</v>
      </c>
      <c r="D158" t="s">
        <v>6</v>
      </c>
      <c r="E158" t="s">
        <v>965</v>
      </c>
      <c r="F158" t="s">
        <v>974</v>
      </c>
      <c r="G158" t="s">
        <v>973</v>
      </c>
      <c r="H158">
        <v>6.774</v>
      </c>
      <c r="J158">
        <v>107805749</v>
      </c>
      <c r="K158" s="2">
        <v>45506</v>
      </c>
      <c r="L158">
        <v>21</v>
      </c>
      <c r="M158">
        <v>1</v>
      </c>
      <c r="N158">
        <v>8</v>
      </c>
      <c r="O158">
        <v>1</v>
      </c>
      <c r="P158" t="s">
        <v>7</v>
      </c>
    </row>
    <row r="159" spans="1:19">
      <c r="A159" t="s">
        <v>970</v>
      </c>
      <c r="B159" t="s">
        <v>965</v>
      </c>
      <c r="C159">
        <v>0.14000000000000001</v>
      </c>
      <c r="D159" t="s">
        <v>758</v>
      </c>
      <c r="E159" t="s">
        <v>972</v>
      </c>
      <c r="F159" t="s">
        <v>971</v>
      </c>
      <c r="G159" t="s">
        <v>962</v>
      </c>
      <c r="H159">
        <v>1.1910000000000001</v>
      </c>
      <c r="J159">
        <v>107899083</v>
      </c>
      <c r="K159" s="2">
        <v>45590</v>
      </c>
      <c r="L159">
        <v>1</v>
      </c>
      <c r="M159">
        <v>1</v>
      </c>
      <c r="N159">
        <v>0</v>
      </c>
      <c r="O159">
        <v>1</v>
      </c>
      <c r="P159" t="s">
        <v>10</v>
      </c>
    </row>
    <row r="160" spans="1:19">
      <c r="A160" t="s">
        <v>970</v>
      </c>
      <c r="B160" t="s">
        <v>984</v>
      </c>
      <c r="C160">
        <v>0</v>
      </c>
      <c r="E160" t="s">
        <v>965</v>
      </c>
      <c r="F160" t="s">
        <v>985</v>
      </c>
      <c r="H160">
        <v>999.99900000000002</v>
      </c>
      <c r="J160">
        <v>107903961</v>
      </c>
      <c r="K160" s="2">
        <v>45596</v>
      </c>
      <c r="L160">
        <v>21</v>
      </c>
      <c r="M160">
        <v>1</v>
      </c>
      <c r="N160">
        <v>9</v>
      </c>
      <c r="O160">
        <v>1</v>
      </c>
      <c r="P160" t="s">
        <v>7</v>
      </c>
    </row>
    <row r="161" spans="1:19">
      <c r="A161" t="s">
        <v>754</v>
      </c>
      <c r="B161" t="s">
        <v>961</v>
      </c>
      <c r="C161">
        <v>1.6E-2</v>
      </c>
      <c r="D161" t="s">
        <v>758</v>
      </c>
      <c r="E161" t="s">
        <v>968</v>
      </c>
      <c r="F161" t="s">
        <v>973</v>
      </c>
      <c r="G161" t="s">
        <v>961</v>
      </c>
      <c r="H161">
        <v>0</v>
      </c>
      <c r="J161">
        <v>107947711</v>
      </c>
      <c r="K161" s="2">
        <v>45631</v>
      </c>
      <c r="L161">
        <v>21</v>
      </c>
      <c r="M161">
        <v>1</v>
      </c>
      <c r="N161">
        <v>7</v>
      </c>
      <c r="O161">
        <v>1</v>
      </c>
      <c r="P161" t="s">
        <v>3</v>
      </c>
      <c r="Q161">
        <v>35.177079999999997</v>
      </c>
      <c r="R161">
        <v>-79.431610000000006</v>
      </c>
      <c r="S161" t="s">
        <v>761</v>
      </c>
    </row>
    <row r="162" spans="1:19">
      <c r="A162" t="s">
        <v>754</v>
      </c>
      <c r="B162" t="s">
        <v>962</v>
      </c>
      <c r="C162">
        <v>0</v>
      </c>
      <c r="E162" t="s">
        <v>1012</v>
      </c>
      <c r="F162" t="s">
        <v>1013</v>
      </c>
      <c r="H162">
        <v>999.99900000000002</v>
      </c>
      <c r="J162">
        <v>107958129</v>
      </c>
      <c r="K162" s="2">
        <v>45630</v>
      </c>
      <c r="L162">
        <v>24</v>
      </c>
      <c r="M162">
        <v>1</v>
      </c>
      <c r="N162">
        <v>8</v>
      </c>
      <c r="O162">
        <v>1</v>
      </c>
      <c r="P162" t="s">
        <v>7</v>
      </c>
      <c r="Q162">
        <v>35.177000999999997</v>
      </c>
      <c r="R162">
        <v>-79.434970000000007</v>
      </c>
      <c r="S162" t="s">
        <v>761</v>
      </c>
    </row>
    <row r="163" spans="1:19">
      <c r="A163" t="s">
        <v>970</v>
      </c>
      <c r="B163" t="s">
        <v>965</v>
      </c>
      <c r="C163">
        <v>9.5000000000000001E-2</v>
      </c>
      <c r="D163" t="s">
        <v>758</v>
      </c>
      <c r="E163" t="s">
        <v>980</v>
      </c>
      <c r="F163" t="s">
        <v>981</v>
      </c>
      <c r="G163" t="s">
        <v>962</v>
      </c>
      <c r="H163">
        <v>1.617</v>
      </c>
      <c r="J163">
        <v>107871653</v>
      </c>
      <c r="K163" s="2">
        <v>45565</v>
      </c>
      <c r="L163">
        <v>21</v>
      </c>
      <c r="M163">
        <v>2</v>
      </c>
      <c r="N163">
        <v>0</v>
      </c>
      <c r="O163">
        <v>1</v>
      </c>
      <c r="P163" t="s">
        <v>7</v>
      </c>
    </row>
    <row r="164" spans="1:19">
      <c r="A164" t="s">
        <v>970</v>
      </c>
      <c r="B164" t="s">
        <v>962</v>
      </c>
      <c r="C164">
        <v>0</v>
      </c>
      <c r="E164" t="s">
        <v>971</v>
      </c>
      <c r="F164" t="s">
        <v>972</v>
      </c>
      <c r="G164" t="s">
        <v>962</v>
      </c>
      <c r="H164">
        <v>1.0409999999999999</v>
      </c>
      <c r="J164">
        <v>107922887</v>
      </c>
      <c r="K164" s="2">
        <v>45610</v>
      </c>
      <c r="L164">
        <v>30</v>
      </c>
      <c r="M164">
        <v>2</v>
      </c>
      <c r="N164">
        <v>7</v>
      </c>
      <c r="O164">
        <v>1</v>
      </c>
      <c r="P164" t="s">
        <v>7</v>
      </c>
    </row>
    <row r="165" spans="1:19">
      <c r="A165" t="s">
        <v>970</v>
      </c>
      <c r="B165" t="s">
        <v>965</v>
      </c>
      <c r="C165">
        <v>1</v>
      </c>
      <c r="D165" t="s">
        <v>758</v>
      </c>
      <c r="E165" t="s">
        <v>971</v>
      </c>
      <c r="F165" t="s">
        <v>973</v>
      </c>
      <c r="G165" t="s">
        <v>962</v>
      </c>
      <c r="H165">
        <v>4.1000000000000002E-2</v>
      </c>
      <c r="J165">
        <v>108185380</v>
      </c>
      <c r="K165" s="2">
        <v>45866</v>
      </c>
      <c r="L165">
        <v>21</v>
      </c>
      <c r="M165">
        <v>1</v>
      </c>
      <c r="N165">
        <v>7</v>
      </c>
      <c r="O165">
        <v>1</v>
      </c>
      <c r="P165" t="s">
        <v>7</v>
      </c>
    </row>
    <row r="166" spans="1:19">
      <c r="A166" t="s">
        <v>970</v>
      </c>
      <c r="B166" t="s">
        <v>965</v>
      </c>
      <c r="C166">
        <v>0.53</v>
      </c>
      <c r="D166" t="s">
        <v>758</v>
      </c>
      <c r="E166" t="s">
        <v>976</v>
      </c>
      <c r="F166" t="s">
        <v>973</v>
      </c>
      <c r="G166" t="s">
        <v>962</v>
      </c>
      <c r="H166">
        <v>6.0999999999999999E-2</v>
      </c>
      <c r="J166">
        <v>108185383</v>
      </c>
      <c r="K166" s="2">
        <v>45867</v>
      </c>
      <c r="L166">
        <v>28</v>
      </c>
      <c r="M166">
        <v>1</v>
      </c>
      <c r="N166">
        <v>0</v>
      </c>
      <c r="O166">
        <v>1</v>
      </c>
      <c r="P166" t="s">
        <v>7</v>
      </c>
    </row>
    <row r="167" spans="1:19">
      <c r="A167" t="s">
        <v>970</v>
      </c>
      <c r="B167" t="s">
        <v>965</v>
      </c>
      <c r="C167">
        <v>0</v>
      </c>
      <c r="E167" t="s">
        <v>971</v>
      </c>
      <c r="G167" t="s">
        <v>962</v>
      </c>
      <c r="H167">
        <v>1.0409999999999999</v>
      </c>
      <c r="J167">
        <v>108098341</v>
      </c>
      <c r="K167" s="2">
        <v>45780</v>
      </c>
      <c r="L167">
        <v>30</v>
      </c>
      <c r="M167">
        <v>1</v>
      </c>
      <c r="N167">
        <v>7</v>
      </c>
      <c r="O167">
        <v>1</v>
      </c>
      <c r="P167" t="s">
        <v>3</v>
      </c>
    </row>
    <row r="168" spans="1:19">
      <c r="A168" t="s">
        <v>970</v>
      </c>
      <c r="B168" t="s">
        <v>973</v>
      </c>
      <c r="C168">
        <v>0</v>
      </c>
      <c r="E168" t="s">
        <v>965</v>
      </c>
      <c r="G168" t="s">
        <v>973</v>
      </c>
      <c r="H168">
        <v>6.8019999999999996</v>
      </c>
      <c r="J168">
        <v>108528080</v>
      </c>
      <c r="K168" s="2">
        <v>46185</v>
      </c>
      <c r="L168">
        <v>23</v>
      </c>
      <c r="M168">
        <v>1</v>
      </c>
      <c r="N168">
        <v>7</v>
      </c>
      <c r="O168">
        <v>1</v>
      </c>
      <c r="P168" t="s">
        <v>3</v>
      </c>
    </row>
    <row r="169" spans="1:19">
      <c r="A169" t="s">
        <v>970</v>
      </c>
      <c r="B169" t="s">
        <v>965</v>
      </c>
      <c r="C169">
        <v>0.06</v>
      </c>
      <c r="D169" t="s">
        <v>765</v>
      </c>
      <c r="E169" t="s">
        <v>980</v>
      </c>
      <c r="F169" t="s">
        <v>981</v>
      </c>
      <c r="G169" t="s">
        <v>962</v>
      </c>
      <c r="H169">
        <v>1.6519999999999999</v>
      </c>
      <c r="J169">
        <v>108071000</v>
      </c>
      <c r="K169" s="2">
        <v>45750</v>
      </c>
      <c r="L169">
        <v>28</v>
      </c>
      <c r="M169">
        <v>1</v>
      </c>
      <c r="N169">
        <v>0</v>
      </c>
      <c r="O169">
        <v>1</v>
      </c>
      <c r="P169" t="s">
        <v>7</v>
      </c>
    </row>
    <row r="170" spans="1:19">
      <c r="A170" t="s">
        <v>970</v>
      </c>
      <c r="B170" t="s">
        <v>962</v>
      </c>
      <c r="C170">
        <v>9.5000000000000001E-2</v>
      </c>
      <c r="D170" t="s">
        <v>758</v>
      </c>
      <c r="E170" t="s">
        <v>972</v>
      </c>
      <c r="F170" t="s">
        <v>971</v>
      </c>
      <c r="G170" t="s">
        <v>962</v>
      </c>
      <c r="H170">
        <v>1.236</v>
      </c>
      <c r="J170">
        <v>108293465</v>
      </c>
      <c r="K170" s="2">
        <v>45965</v>
      </c>
      <c r="L170">
        <v>21</v>
      </c>
      <c r="M170">
        <v>1</v>
      </c>
      <c r="N170">
        <v>0</v>
      </c>
      <c r="O170">
        <v>1</v>
      </c>
      <c r="P170" t="s">
        <v>7</v>
      </c>
    </row>
    <row r="171" spans="1:19">
      <c r="A171" t="s">
        <v>970</v>
      </c>
      <c r="B171" t="s">
        <v>965</v>
      </c>
      <c r="C171">
        <v>8.9999999999999993E-3</v>
      </c>
      <c r="D171" t="s">
        <v>756</v>
      </c>
      <c r="E171" t="s">
        <v>973</v>
      </c>
      <c r="F171" t="s">
        <v>976</v>
      </c>
      <c r="G171" t="s">
        <v>962</v>
      </c>
      <c r="H171">
        <v>8.9999999999999993E-3</v>
      </c>
      <c r="J171">
        <v>108275163</v>
      </c>
      <c r="K171" s="2">
        <v>45953</v>
      </c>
      <c r="L171">
        <v>21</v>
      </c>
      <c r="M171">
        <v>1</v>
      </c>
      <c r="N171">
        <v>7</v>
      </c>
      <c r="O171">
        <v>1</v>
      </c>
      <c r="P171" t="s">
        <v>7</v>
      </c>
    </row>
    <row r="172" spans="1:19">
      <c r="A172" t="s">
        <v>970</v>
      </c>
      <c r="B172" t="s">
        <v>973</v>
      </c>
      <c r="C172">
        <v>0</v>
      </c>
      <c r="E172" t="s">
        <v>965</v>
      </c>
      <c r="G172" t="s">
        <v>973</v>
      </c>
      <c r="H172">
        <v>6.8019999999999996</v>
      </c>
      <c r="J172">
        <v>108064946</v>
      </c>
      <c r="K172" s="2">
        <v>45747</v>
      </c>
      <c r="L172">
        <v>30</v>
      </c>
      <c r="M172">
        <v>1</v>
      </c>
      <c r="N172">
        <v>7</v>
      </c>
      <c r="O172">
        <v>1</v>
      </c>
      <c r="P172" t="s">
        <v>7</v>
      </c>
    </row>
    <row r="173" spans="1:19">
      <c r="A173" t="s">
        <v>970</v>
      </c>
      <c r="B173" t="s">
        <v>965</v>
      </c>
      <c r="C173">
        <v>0.189</v>
      </c>
      <c r="D173" t="s">
        <v>756</v>
      </c>
      <c r="E173" t="s">
        <v>971</v>
      </c>
      <c r="F173" t="s">
        <v>972</v>
      </c>
      <c r="G173" t="s">
        <v>962</v>
      </c>
      <c r="H173">
        <v>1.23</v>
      </c>
      <c r="J173">
        <v>108323385</v>
      </c>
      <c r="K173" s="2">
        <v>45989</v>
      </c>
      <c r="L173">
        <v>21</v>
      </c>
      <c r="M173">
        <v>1</v>
      </c>
      <c r="N173">
        <v>0</v>
      </c>
      <c r="O173">
        <v>1</v>
      </c>
      <c r="P173" t="s">
        <v>7</v>
      </c>
    </row>
    <row r="174" spans="1:19">
      <c r="A174" t="s">
        <v>970</v>
      </c>
      <c r="B174" t="s">
        <v>965</v>
      </c>
      <c r="C174">
        <v>0.32</v>
      </c>
      <c r="D174" t="s">
        <v>758</v>
      </c>
      <c r="E174" t="s">
        <v>976</v>
      </c>
      <c r="F174" t="s">
        <v>973</v>
      </c>
      <c r="G174" t="s">
        <v>962</v>
      </c>
      <c r="H174">
        <v>0.27100000000000002</v>
      </c>
      <c r="J174">
        <v>108313253</v>
      </c>
      <c r="K174" s="2">
        <v>45980</v>
      </c>
      <c r="L174">
        <v>21</v>
      </c>
      <c r="M174">
        <v>1</v>
      </c>
      <c r="N174">
        <v>0</v>
      </c>
      <c r="O174">
        <v>1</v>
      </c>
      <c r="P174" t="s">
        <v>3</v>
      </c>
    </row>
    <row r="175" spans="1:19">
      <c r="A175" t="s">
        <v>970</v>
      </c>
      <c r="B175" t="s">
        <v>965</v>
      </c>
      <c r="C175">
        <v>0</v>
      </c>
      <c r="E175" t="s">
        <v>978</v>
      </c>
      <c r="F175" t="s">
        <v>1014</v>
      </c>
      <c r="H175">
        <v>999.99900000000002</v>
      </c>
      <c r="J175">
        <v>108327242</v>
      </c>
      <c r="K175" s="2">
        <v>45993</v>
      </c>
      <c r="L175">
        <v>30</v>
      </c>
      <c r="M175">
        <v>2</v>
      </c>
      <c r="N175">
        <v>7</v>
      </c>
      <c r="O175">
        <v>1</v>
      </c>
      <c r="P175" t="s">
        <v>7</v>
      </c>
    </row>
    <row r="176" spans="1:19">
      <c r="A176" t="s">
        <v>970</v>
      </c>
      <c r="B176" t="s">
        <v>973</v>
      </c>
      <c r="C176">
        <v>0</v>
      </c>
      <c r="E176" t="s">
        <v>965</v>
      </c>
      <c r="F176" t="s">
        <v>1011</v>
      </c>
      <c r="G176" t="s">
        <v>973</v>
      </c>
      <c r="H176">
        <v>6.8019999999999996</v>
      </c>
      <c r="J176">
        <v>108134559</v>
      </c>
      <c r="K176" s="2">
        <v>45815</v>
      </c>
      <c r="L176">
        <v>30</v>
      </c>
      <c r="M176">
        <v>1</v>
      </c>
      <c r="N176">
        <v>7</v>
      </c>
      <c r="O176">
        <v>1</v>
      </c>
      <c r="P176" t="s">
        <v>7</v>
      </c>
    </row>
    <row r="177" spans="1:19">
      <c r="A177" t="s">
        <v>754</v>
      </c>
      <c r="B177" t="s">
        <v>968</v>
      </c>
      <c r="C177">
        <v>4.0000000000000001E-3</v>
      </c>
      <c r="D177" t="s">
        <v>758</v>
      </c>
      <c r="E177" t="s">
        <v>961</v>
      </c>
      <c r="F177" t="s">
        <v>973</v>
      </c>
      <c r="G177" t="s">
        <v>968</v>
      </c>
      <c r="H177">
        <v>7.7539999999999996</v>
      </c>
      <c r="J177">
        <v>108244961</v>
      </c>
      <c r="K177" s="2">
        <v>45926</v>
      </c>
      <c r="L177">
        <v>26</v>
      </c>
      <c r="M177">
        <v>1</v>
      </c>
      <c r="N177">
        <v>7</v>
      </c>
      <c r="O177">
        <v>1</v>
      </c>
      <c r="P177" t="s">
        <v>7</v>
      </c>
      <c r="Q177">
        <v>35.177320000000002</v>
      </c>
      <c r="R177">
        <v>-79.431910000000002</v>
      </c>
      <c r="S177" t="s">
        <v>761</v>
      </c>
    </row>
    <row r="178" spans="1:19">
      <c r="A178" t="s">
        <v>754</v>
      </c>
      <c r="B178" t="s">
        <v>968</v>
      </c>
      <c r="C178">
        <v>4.0000000000000001E-3</v>
      </c>
      <c r="D178" t="s">
        <v>6</v>
      </c>
      <c r="E178" t="s">
        <v>963</v>
      </c>
      <c r="F178" t="s">
        <v>979</v>
      </c>
      <c r="G178" t="s">
        <v>968</v>
      </c>
      <c r="H178">
        <v>7.585</v>
      </c>
      <c r="J178">
        <v>108386225</v>
      </c>
      <c r="K178" s="2">
        <v>46051</v>
      </c>
      <c r="L178">
        <v>32</v>
      </c>
      <c r="M178">
        <v>1</v>
      </c>
      <c r="N178">
        <v>0</v>
      </c>
      <c r="O178">
        <v>1</v>
      </c>
      <c r="P178" t="s">
        <v>7</v>
      </c>
      <c r="Q178">
        <v>35.175750000000001</v>
      </c>
      <c r="R178">
        <v>-79.429299999999998</v>
      </c>
      <c r="S178" t="s">
        <v>761</v>
      </c>
    </row>
    <row r="179" spans="1:19">
      <c r="A179" t="s">
        <v>970</v>
      </c>
      <c r="B179" t="s">
        <v>965</v>
      </c>
      <c r="C179">
        <v>2E-3</v>
      </c>
      <c r="D179" t="s">
        <v>758</v>
      </c>
      <c r="E179" t="s">
        <v>976</v>
      </c>
      <c r="F179" t="s">
        <v>973</v>
      </c>
      <c r="G179" t="s">
        <v>962</v>
      </c>
      <c r="H179">
        <v>0.58899999999999997</v>
      </c>
      <c r="J179">
        <v>108389051</v>
      </c>
      <c r="K179" s="2">
        <v>46051</v>
      </c>
      <c r="L179">
        <v>21</v>
      </c>
      <c r="M179">
        <v>1</v>
      </c>
      <c r="N179">
        <v>7</v>
      </c>
      <c r="O179">
        <v>1</v>
      </c>
      <c r="P179" t="s">
        <v>7</v>
      </c>
    </row>
    <row r="180" spans="1:19">
      <c r="A180" t="s">
        <v>970</v>
      </c>
      <c r="B180" t="s">
        <v>965</v>
      </c>
      <c r="C180">
        <v>5.0000000000000001E-3</v>
      </c>
      <c r="D180" t="s">
        <v>756</v>
      </c>
      <c r="E180" t="s">
        <v>973</v>
      </c>
      <c r="F180" t="s">
        <v>976</v>
      </c>
      <c r="G180" t="s">
        <v>962</v>
      </c>
      <c r="H180">
        <v>5.0000000000000001E-3</v>
      </c>
      <c r="J180">
        <v>108468535</v>
      </c>
      <c r="K180" s="2">
        <v>46129</v>
      </c>
      <c r="L180">
        <v>21</v>
      </c>
      <c r="M180">
        <v>1</v>
      </c>
      <c r="N180">
        <v>7</v>
      </c>
      <c r="O180">
        <v>1</v>
      </c>
      <c r="P180" t="s">
        <v>7</v>
      </c>
    </row>
    <row r="181" spans="1:19">
      <c r="A181" t="s">
        <v>970</v>
      </c>
      <c r="B181" t="s">
        <v>965</v>
      </c>
      <c r="C181">
        <v>5.0000000000000001E-3</v>
      </c>
      <c r="D181" t="s">
        <v>756</v>
      </c>
      <c r="E181" t="s">
        <v>1015</v>
      </c>
      <c r="F181" t="s">
        <v>976</v>
      </c>
      <c r="H181">
        <v>999.99900000000002</v>
      </c>
      <c r="J181">
        <v>108396073</v>
      </c>
      <c r="K181" s="2">
        <v>46056</v>
      </c>
      <c r="L181">
        <v>19</v>
      </c>
      <c r="M181">
        <v>2</v>
      </c>
      <c r="N181">
        <v>22</v>
      </c>
      <c r="O181">
        <v>1</v>
      </c>
      <c r="P181" t="s">
        <v>7</v>
      </c>
    </row>
    <row r="182" spans="1:19">
      <c r="A182" t="s">
        <v>754</v>
      </c>
      <c r="B182" t="s">
        <v>962</v>
      </c>
      <c r="C182">
        <v>0</v>
      </c>
      <c r="E182" t="s">
        <v>1016</v>
      </c>
      <c r="F182" t="s">
        <v>968</v>
      </c>
      <c r="H182">
        <v>999.99900000000002</v>
      </c>
      <c r="J182">
        <v>108534584</v>
      </c>
      <c r="K182" s="2">
        <v>46190</v>
      </c>
      <c r="L182">
        <v>28</v>
      </c>
      <c r="M182">
        <v>1</v>
      </c>
      <c r="N182">
        <v>0</v>
      </c>
      <c r="O182">
        <v>1</v>
      </c>
      <c r="P182" t="s">
        <v>3</v>
      </c>
      <c r="Q182">
        <v>35.177000999999997</v>
      </c>
      <c r="R182">
        <v>-79.434970000000007</v>
      </c>
      <c r="S182" t="s">
        <v>755</v>
      </c>
    </row>
    <row r="183" spans="1:19">
      <c r="A183" t="s">
        <v>970</v>
      </c>
      <c r="B183" t="s">
        <v>973</v>
      </c>
      <c r="C183">
        <v>5.0000000000000001E-3</v>
      </c>
      <c r="D183" t="s">
        <v>6</v>
      </c>
      <c r="E183" t="s">
        <v>965</v>
      </c>
      <c r="F183" t="s">
        <v>974</v>
      </c>
      <c r="G183" t="s">
        <v>973</v>
      </c>
      <c r="H183">
        <v>6.7969999999999997</v>
      </c>
      <c r="J183">
        <v>108513387</v>
      </c>
      <c r="K183" s="2">
        <v>46171</v>
      </c>
      <c r="L183">
        <v>21</v>
      </c>
      <c r="M183">
        <v>1</v>
      </c>
      <c r="N183">
        <v>7</v>
      </c>
      <c r="O183">
        <v>1</v>
      </c>
      <c r="P183" t="s">
        <v>7</v>
      </c>
    </row>
    <row r="184" spans="1:19">
      <c r="A184" t="s">
        <v>970</v>
      </c>
      <c r="B184" t="s">
        <v>962</v>
      </c>
      <c r="C184">
        <v>3.2000000000000001E-2</v>
      </c>
      <c r="D184" t="s">
        <v>756</v>
      </c>
      <c r="E184" t="s">
        <v>983</v>
      </c>
      <c r="F184" t="s">
        <v>971</v>
      </c>
      <c r="G184" t="s">
        <v>962</v>
      </c>
      <c r="H184">
        <v>0.92700000000000005</v>
      </c>
      <c r="J184">
        <v>108499171</v>
      </c>
      <c r="K184" s="2">
        <v>46154</v>
      </c>
      <c r="L184">
        <v>21</v>
      </c>
      <c r="M184">
        <v>1</v>
      </c>
      <c r="N184">
        <v>0</v>
      </c>
      <c r="O184">
        <v>1</v>
      </c>
      <c r="P184" t="s">
        <v>7</v>
      </c>
      <c r="Q184">
        <v>35.181139999999999</v>
      </c>
      <c r="R184">
        <v>-79.453040000000001</v>
      </c>
      <c r="S184" t="s">
        <v>755</v>
      </c>
    </row>
    <row r="185" spans="1:19">
      <c r="A185" t="s">
        <v>970</v>
      </c>
      <c r="B185" t="s">
        <v>965</v>
      </c>
      <c r="C185">
        <v>2.7E-2</v>
      </c>
      <c r="D185" t="s">
        <v>6</v>
      </c>
      <c r="E185" t="s">
        <v>980</v>
      </c>
      <c r="F185" t="s">
        <v>978</v>
      </c>
      <c r="G185" t="s">
        <v>962</v>
      </c>
      <c r="H185">
        <v>1.7390000000000001</v>
      </c>
      <c r="J185">
        <v>108429922</v>
      </c>
      <c r="K185" s="2">
        <v>46094</v>
      </c>
      <c r="L185">
        <v>30</v>
      </c>
      <c r="M185">
        <v>1</v>
      </c>
      <c r="N185">
        <v>0</v>
      </c>
      <c r="O185">
        <v>1</v>
      </c>
      <c r="P185" t="s">
        <v>3</v>
      </c>
    </row>
    <row r="186" spans="1:19">
      <c r="A186" t="s">
        <v>970</v>
      </c>
      <c r="B186" t="s">
        <v>973</v>
      </c>
      <c r="C186">
        <v>1.9E-2</v>
      </c>
      <c r="D186" t="s">
        <v>6</v>
      </c>
      <c r="E186" t="s">
        <v>965</v>
      </c>
      <c r="F186" t="s">
        <v>971</v>
      </c>
      <c r="G186" t="s">
        <v>973</v>
      </c>
      <c r="H186">
        <v>6.7830000000000004</v>
      </c>
      <c r="J186">
        <v>108597977</v>
      </c>
      <c r="K186" s="2">
        <v>46256</v>
      </c>
      <c r="L186">
        <v>21</v>
      </c>
      <c r="M186">
        <v>1</v>
      </c>
      <c r="N186">
        <v>7</v>
      </c>
      <c r="O186">
        <v>1</v>
      </c>
      <c r="P186" t="s">
        <v>7</v>
      </c>
    </row>
    <row r="187" spans="1:19">
      <c r="A187" t="s">
        <v>970</v>
      </c>
      <c r="B187" t="s">
        <v>965</v>
      </c>
      <c r="C187">
        <v>0</v>
      </c>
      <c r="E187" t="s">
        <v>981</v>
      </c>
      <c r="F187" t="s">
        <v>980</v>
      </c>
      <c r="G187" t="s">
        <v>962</v>
      </c>
      <c r="H187">
        <v>1.411</v>
      </c>
      <c r="J187">
        <v>108562132</v>
      </c>
      <c r="K187" s="2">
        <v>46220</v>
      </c>
      <c r="L187">
        <v>21</v>
      </c>
      <c r="M187">
        <v>1</v>
      </c>
      <c r="N187">
        <v>8</v>
      </c>
      <c r="O187">
        <v>1</v>
      </c>
      <c r="P187" t="s">
        <v>3</v>
      </c>
    </row>
    <row r="188" spans="1:19">
      <c r="A188" t="s">
        <v>1017</v>
      </c>
      <c r="B188" t="s">
        <v>967</v>
      </c>
      <c r="C188">
        <v>7.0000000000000007E-2</v>
      </c>
      <c r="D188" t="s">
        <v>758</v>
      </c>
      <c r="E188" t="s">
        <v>1018</v>
      </c>
      <c r="F188" t="s">
        <v>1019</v>
      </c>
      <c r="G188" t="s">
        <v>960</v>
      </c>
      <c r="H188">
        <v>1.292</v>
      </c>
      <c r="J188">
        <v>105138045</v>
      </c>
      <c r="K188" s="2">
        <v>42888</v>
      </c>
      <c r="L188">
        <v>30</v>
      </c>
      <c r="M188">
        <v>1</v>
      </c>
      <c r="N188">
        <v>0</v>
      </c>
      <c r="O188">
        <v>1</v>
      </c>
      <c r="P188" t="s">
        <v>8</v>
      </c>
    </row>
    <row r="189" spans="1:19">
      <c r="A189" t="s">
        <v>754</v>
      </c>
      <c r="B189" t="s">
        <v>965</v>
      </c>
      <c r="C189">
        <v>4.0000000000000001E-3</v>
      </c>
      <c r="D189" t="s">
        <v>758</v>
      </c>
      <c r="E189" t="s">
        <v>967</v>
      </c>
      <c r="F189" t="s">
        <v>1020</v>
      </c>
      <c r="G189" t="s">
        <v>961</v>
      </c>
      <c r="H189">
        <v>0.20699999999999999</v>
      </c>
      <c r="J189">
        <v>106231607</v>
      </c>
      <c r="K189" s="2">
        <v>43901</v>
      </c>
      <c r="L189">
        <v>28</v>
      </c>
      <c r="M189">
        <v>1</v>
      </c>
      <c r="N189">
        <v>7</v>
      </c>
      <c r="O189">
        <v>1</v>
      </c>
      <c r="P189" t="s">
        <v>7</v>
      </c>
    </row>
    <row r="190" spans="1:19">
      <c r="A190" t="s">
        <v>1021</v>
      </c>
      <c r="B190" t="s">
        <v>1022</v>
      </c>
      <c r="C190">
        <v>1E-3</v>
      </c>
      <c r="D190" t="s">
        <v>757</v>
      </c>
      <c r="E190" t="s">
        <v>965</v>
      </c>
      <c r="H190">
        <v>999.99900000000002</v>
      </c>
      <c r="J190">
        <v>108373439</v>
      </c>
      <c r="K190" s="2">
        <v>46038</v>
      </c>
      <c r="L190">
        <v>31</v>
      </c>
      <c r="M190">
        <v>1</v>
      </c>
      <c r="N190">
        <v>12</v>
      </c>
      <c r="O190">
        <v>1</v>
      </c>
      <c r="P190" t="s">
        <v>7</v>
      </c>
    </row>
    <row r="191" spans="1:19">
      <c r="A191" t="s">
        <v>1021</v>
      </c>
      <c r="B191" t="s">
        <v>968</v>
      </c>
      <c r="C191">
        <v>0</v>
      </c>
      <c r="E191" t="s">
        <v>965</v>
      </c>
      <c r="G191" t="s">
        <v>968</v>
      </c>
      <c r="H191">
        <v>7.75</v>
      </c>
      <c r="J191">
        <v>108589989</v>
      </c>
      <c r="K191" s="2">
        <v>46248</v>
      </c>
      <c r="L191">
        <v>21</v>
      </c>
      <c r="M191">
        <v>1</v>
      </c>
      <c r="N191">
        <v>7</v>
      </c>
      <c r="O191">
        <v>1</v>
      </c>
      <c r="P191" t="s">
        <v>7</v>
      </c>
    </row>
    <row r="192" spans="1:19">
      <c r="A192" t="s">
        <v>1021</v>
      </c>
      <c r="B192" t="s">
        <v>968</v>
      </c>
      <c r="C192">
        <v>0</v>
      </c>
      <c r="E192" t="s">
        <v>965</v>
      </c>
      <c r="F192" t="s">
        <v>986</v>
      </c>
      <c r="G192" t="s">
        <v>968</v>
      </c>
      <c r="H192">
        <v>7.75</v>
      </c>
      <c r="J192">
        <v>108209250</v>
      </c>
      <c r="K192" s="2">
        <v>45890</v>
      </c>
      <c r="L192">
        <v>21</v>
      </c>
      <c r="M192">
        <v>1</v>
      </c>
      <c r="N192">
        <v>7</v>
      </c>
      <c r="O192">
        <v>1</v>
      </c>
      <c r="P192" t="s">
        <v>7</v>
      </c>
    </row>
    <row r="193" spans="1:19">
      <c r="A193" t="s">
        <v>1021</v>
      </c>
      <c r="B193" t="s">
        <v>968</v>
      </c>
      <c r="C193">
        <v>0.01</v>
      </c>
      <c r="D193" t="s">
        <v>6</v>
      </c>
      <c r="E193" t="s">
        <v>965</v>
      </c>
      <c r="F193" t="s">
        <v>1023</v>
      </c>
      <c r="G193" t="s">
        <v>968</v>
      </c>
      <c r="H193">
        <v>7.74</v>
      </c>
      <c r="J193">
        <v>107559810</v>
      </c>
      <c r="K193" s="2">
        <v>45271</v>
      </c>
      <c r="L193">
        <v>28</v>
      </c>
      <c r="M193">
        <v>1</v>
      </c>
      <c r="N193">
        <v>0</v>
      </c>
      <c r="O193">
        <v>1</v>
      </c>
      <c r="P193" t="s">
        <v>7</v>
      </c>
    </row>
    <row r="194" spans="1:19">
      <c r="A194" t="s">
        <v>1021</v>
      </c>
      <c r="B194" t="s">
        <v>965</v>
      </c>
      <c r="C194">
        <v>0.19</v>
      </c>
      <c r="D194" t="s">
        <v>758</v>
      </c>
      <c r="E194" t="s">
        <v>967</v>
      </c>
      <c r="F194" t="s">
        <v>968</v>
      </c>
      <c r="G194" t="s">
        <v>961</v>
      </c>
      <c r="H194">
        <v>2.1000000000000001E-2</v>
      </c>
      <c r="J194">
        <v>107630621</v>
      </c>
      <c r="K194" s="2">
        <v>45343</v>
      </c>
      <c r="L194">
        <v>21</v>
      </c>
      <c r="M194">
        <v>1</v>
      </c>
      <c r="N194">
        <v>0</v>
      </c>
      <c r="O194">
        <v>1</v>
      </c>
      <c r="P194" t="s">
        <v>7</v>
      </c>
    </row>
    <row r="195" spans="1:19">
      <c r="A195" t="s">
        <v>1021</v>
      </c>
      <c r="B195" t="s">
        <v>962</v>
      </c>
      <c r="C195">
        <v>0</v>
      </c>
      <c r="E195" t="s">
        <v>968</v>
      </c>
      <c r="F195" t="s">
        <v>1024</v>
      </c>
      <c r="G195" t="s">
        <v>962</v>
      </c>
      <c r="H195">
        <v>2.1920000000000002</v>
      </c>
      <c r="J195">
        <v>108111697</v>
      </c>
      <c r="K195" s="2">
        <v>45793</v>
      </c>
      <c r="L195">
        <v>21</v>
      </c>
      <c r="M195">
        <v>1</v>
      </c>
      <c r="N195">
        <v>7</v>
      </c>
      <c r="O195">
        <v>1</v>
      </c>
      <c r="P195" t="s">
        <v>7</v>
      </c>
      <c r="Q195">
        <v>35.177770000000002</v>
      </c>
      <c r="R195">
        <v>-79.431650000000005</v>
      </c>
      <c r="S195" t="s">
        <v>761</v>
      </c>
    </row>
    <row r="196" spans="1:19">
      <c r="A196" t="s">
        <v>1021</v>
      </c>
      <c r="B196" t="s">
        <v>965</v>
      </c>
      <c r="C196">
        <v>4.1000000000000002E-2</v>
      </c>
      <c r="D196" t="s">
        <v>756</v>
      </c>
      <c r="E196" t="s">
        <v>1025</v>
      </c>
      <c r="F196" t="s">
        <v>1026</v>
      </c>
      <c r="G196" t="s">
        <v>965</v>
      </c>
      <c r="H196">
        <v>999.99900000000002</v>
      </c>
      <c r="J196">
        <v>108002306</v>
      </c>
      <c r="K196" s="2">
        <v>45684</v>
      </c>
      <c r="L196">
        <v>1</v>
      </c>
      <c r="M196">
        <v>2</v>
      </c>
      <c r="N196">
        <v>9</v>
      </c>
      <c r="O196">
        <v>4</v>
      </c>
      <c r="P196" t="s">
        <v>7</v>
      </c>
    </row>
    <row r="197" spans="1:19">
      <c r="A197" t="s">
        <v>1021</v>
      </c>
      <c r="B197" t="s">
        <v>975</v>
      </c>
      <c r="C197">
        <v>0</v>
      </c>
      <c r="E197" t="s">
        <v>965</v>
      </c>
      <c r="G197" t="s">
        <v>962</v>
      </c>
      <c r="H197">
        <v>1.9019999999999999</v>
      </c>
      <c r="J197">
        <v>108392108</v>
      </c>
      <c r="K197" s="2">
        <v>46058</v>
      </c>
      <c r="L197">
        <v>31</v>
      </c>
      <c r="M197">
        <v>1</v>
      </c>
      <c r="N197">
        <v>8</v>
      </c>
      <c r="O197">
        <v>1</v>
      </c>
      <c r="P197" t="s">
        <v>7</v>
      </c>
    </row>
    <row r="198" spans="1:19">
      <c r="A198" t="s">
        <v>1021</v>
      </c>
      <c r="B198" t="s">
        <v>965</v>
      </c>
      <c r="C198">
        <v>7.5999999999999998E-2</v>
      </c>
      <c r="D198" t="s">
        <v>762</v>
      </c>
      <c r="E198" t="s">
        <v>979</v>
      </c>
      <c r="F198" t="s">
        <v>1027</v>
      </c>
      <c r="G198" t="s">
        <v>961</v>
      </c>
      <c r="H198">
        <v>1.6719999999999999</v>
      </c>
      <c r="J198">
        <v>108546778</v>
      </c>
      <c r="K198" s="2">
        <v>46204</v>
      </c>
      <c r="L198">
        <v>28</v>
      </c>
      <c r="M198">
        <v>1</v>
      </c>
      <c r="N198">
        <v>0</v>
      </c>
      <c r="O198">
        <v>1</v>
      </c>
      <c r="P198" t="s">
        <v>7</v>
      </c>
    </row>
    <row r="199" spans="1:19">
      <c r="A199" t="s">
        <v>1021</v>
      </c>
      <c r="B199" t="s">
        <v>1028</v>
      </c>
      <c r="C199">
        <v>2E-3</v>
      </c>
      <c r="D199" t="s">
        <v>6</v>
      </c>
      <c r="E199" t="s">
        <v>966</v>
      </c>
      <c r="F199" t="s">
        <v>1029</v>
      </c>
      <c r="H199">
        <v>999.99900000000002</v>
      </c>
      <c r="J199">
        <v>107530829</v>
      </c>
      <c r="K199" s="2">
        <v>45247</v>
      </c>
      <c r="L199">
        <v>21</v>
      </c>
      <c r="M199">
        <v>1</v>
      </c>
      <c r="N199">
        <v>7</v>
      </c>
      <c r="O199">
        <v>1</v>
      </c>
      <c r="P199" t="s">
        <v>3</v>
      </c>
    </row>
    <row r="200" spans="1:19">
      <c r="A200" t="s">
        <v>1021</v>
      </c>
      <c r="B200" t="s">
        <v>965</v>
      </c>
      <c r="C200">
        <v>0</v>
      </c>
      <c r="E200" t="s">
        <v>968</v>
      </c>
      <c r="F200" t="s">
        <v>963</v>
      </c>
      <c r="G200" t="s">
        <v>962</v>
      </c>
      <c r="H200">
        <v>2.1920000000000002</v>
      </c>
      <c r="J200">
        <v>107804499</v>
      </c>
      <c r="K200" s="2">
        <v>45505</v>
      </c>
      <c r="L200">
        <v>21</v>
      </c>
      <c r="M200">
        <v>1</v>
      </c>
      <c r="N200">
        <v>7</v>
      </c>
      <c r="O200">
        <v>1</v>
      </c>
      <c r="P200" t="s">
        <v>3</v>
      </c>
    </row>
    <row r="201" spans="1:19">
      <c r="A201" t="s">
        <v>1021</v>
      </c>
      <c r="B201" t="s">
        <v>1030</v>
      </c>
      <c r="C201">
        <v>1.9E-2</v>
      </c>
      <c r="D201" t="s">
        <v>763</v>
      </c>
      <c r="E201" t="s">
        <v>965</v>
      </c>
      <c r="H201">
        <v>999.99900000000002</v>
      </c>
      <c r="J201">
        <v>107879612</v>
      </c>
      <c r="K201" s="2">
        <v>45576</v>
      </c>
      <c r="L201">
        <v>31</v>
      </c>
      <c r="M201">
        <v>1</v>
      </c>
      <c r="N201">
        <v>0</v>
      </c>
      <c r="O201">
        <v>1</v>
      </c>
      <c r="P201" t="s">
        <v>7</v>
      </c>
    </row>
    <row r="202" spans="1:19">
      <c r="A202" t="s">
        <v>1021</v>
      </c>
      <c r="B202" t="s">
        <v>965</v>
      </c>
      <c r="C202">
        <v>0</v>
      </c>
      <c r="E202" t="s">
        <v>963</v>
      </c>
      <c r="F202" t="s">
        <v>1023</v>
      </c>
      <c r="G202" t="s">
        <v>961</v>
      </c>
      <c r="H202">
        <v>0.21099999999999999</v>
      </c>
      <c r="J202">
        <v>107702985</v>
      </c>
      <c r="K202" s="2">
        <v>45410</v>
      </c>
      <c r="L202">
        <v>30</v>
      </c>
      <c r="M202">
        <v>1</v>
      </c>
      <c r="N202">
        <v>7</v>
      </c>
      <c r="O202">
        <v>1</v>
      </c>
      <c r="P202" t="s">
        <v>3</v>
      </c>
    </row>
    <row r="203" spans="1:19">
      <c r="A203" t="s">
        <v>1021</v>
      </c>
      <c r="B203" t="s">
        <v>1031</v>
      </c>
      <c r="C203">
        <v>1.9E-2</v>
      </c>
      <c r="D203" t="s">
        <v>6</v>
      </c>
      <c r="E203" t="s">
        <v>965</v>
      </c>
      <c r="F203" t="s">
        <v>1032</v>
      </c>
      <c r="H203">
        <v>999.99900000000002</v>
      </c>
      <c r="J203">
        <v>107583528</v>
      </c>
      <c r="K203" s="2">
        <v>45295</v>
      </c>
      <c r="L203">
        <v>31</v>
      </c>
      <c r="M203">
        <v>1</v>
      </c>
      <c r="N203">
        <v>0</v>
      </c>
      <c r="O203">
        <v>1</v>
      </c>
      <c r="P203" t="s">
        <v>7</v>
      </c>
    </row>
    <row r="204" spans="1:19">
      <c r="A204" t="s">
        <v>1021</v>
      </c>
      <c r="B204" t="s">
        <v>965</v>
      </c>
      <c r="C204">
        <v>0</v>
      </c>
      <c r="E204" t="s">
        <v>1022</v>
      </c>
      <c r="F204" t="s">
        <v>967</v>
      </c>
      <c r="G204" t="s">
        <v>961</v>
      </c>
      <c r="H204">
        <v>0.21099999999999999</v>
      </c>
      <c r="J204">
        <v>107635374</v>
      </c>
      <c r="K204" s="2">
        <v>45345</v>
      </c>
      <c r="L204">
        <v>25</v>
      </c>
      <c r="M204">
        <v>1</v>
      </c>
      <c r="N204">
        <v>0</v>
      </c>
      <c r="O204">
        <v>1</v>
      </c>
      <c r="P204" t="s">
        <v>7</v>
      </c>
    </row>
    <row r="205" spans="1:19">
      <c r="A205" t="s">
        <v>1021</v>
      </c>
      <c r="B205" t="s">
        <v>965</v>
      </c>
      <c r="C205">
        <v>0</v>
      </c>
      <c r="E205" t="s">
        <v>1033</v>
      </c>
      <c r="F205" t="s">
        <v>1034</v>
      </c>
      <c r="G205" t="s">
        <v>961</v>
      </c>
      <c r="H205">
        <v>1.893</v>
      </c>
      <c r="J205">
        <v>108340331</v>
      </c>
      <c r="K205" s="2">
        <v>46008</v>
      </c>
      <c r="L205">
        <v>21</v>
      </c>
      <c r="M205">
        <v>1</v>
      </c>
      <c r="N205">
        <v>7</v>
      </c>
      <c r="O205">
        <v>1</v>
      </c>
      <c r="P205" t="s">
        <v>7</v>
      </c>
    </row>
    <row r="206" spans="1:19">
      <c r="A206" t="s">
        <v>1021</v>
      </c>
      <c r="B206" t="s">
        <v>965</v>
      </c>
      <c r="C206">
        <v>5.7000000000000002E-2</v>
      </c>
      <c r="D206" t="s">
        <v>762</v>
      </c>
      <c r="E206" t="s">
        <v>1020</v>
      </c>
      <c r="F206" t="s">
        <v>1023</v>
      </c>
      <c r="G206" t="s">
        <v>961</v>
      </c>
      <c r="H206">
        <v>0.39700000000000002</v>
      </c>
      <c r="J206">
        <v>108474558</v>
      </c>
      <c r="K206" s="2">
        <v>46133</v>
      </c>
      <c r="L206">
        <v>2</v>
      </c>
      <c r="M206">
        <v>1</v>
      </c>
      <c r="N206">
        <v>0</v>
      </c>
      <c r="O206">
        <v>1</v>
      </c>
      <c r="P206" t="s">
        <v>7</v>
      </c>
    </row>
    <row r="207" spans="1:19">
      <c r="A207" t="s">
        <v>1021</v>
      </c>
      <c r="B207" t="s">
        <v>968</v>
      </c>
      <c r="C207">
        <v>0.01</v>
      </c>
      <c r="D207" t="s">
        <v>757</v>
      </c>
      <c r="E207" t="s">
        <v>960</v>
      </c>
      <c r="F207" t="s">
        <v>962</v>
      </c>
      <c r="G207" t="s">
        <v>968</v>
      </c>
      <c r="H207">
        <v>8.1310000000000002</v>
      </c>
      <c r="J207">
        <v>107958664</v>
      </c>
      <c r="K207" s="2">
        <v>45637</v>
      </c>
      <c r="L207">
        <v>21</v>
      </c>
      <c r="M207">
        <v>1</v>
      </c>
      <c r="N207">
        <v>0</v>
      </c>
      <c r="O207">
        <v>1</v>
      </c>
      <c r="P207" t="s">
        <v>7</v>
      </c>
      <c r="Q207">
        <v>35.1813</v>
      </c>
      <c r="R207">
        <v>-79.436099999999996</v>
      </c>
      <c r="S207" t="s">
        <v>761</v>
      </c>
    </row>
    <row r="208" spans="1:19">
      <c r="A208" t="s">
        <v>1021</v>
      </c>
      <c r="B208" t="s">
        <v>965</v>
      </c>
      <c r="C208">
        <v>2.8000000000000001E-2</v>
      </c>
      <c r="D208" t="s">
        <v>762</v>
      </c>
      <c r="E208" t="s">
        <v>1032</v>
      </c>
      <c r="F208" t="s">
        <v>1035</v>
      </c>
      <c r="G208" t="s">
        <v>961</v>
      </c>
      <c r="H208">
        <v>1.871</v>
      </c>
      <c r="J208">
        <v>107630359</v>
      </c>
      <c r="K208" s="2">
        <v>45343</v>
      </c>
      <c r="L208">
        <v>21</v>
      </c>
      <c r="M208">
        <v>1</v>
      </c>
      <c r="N208">
        <v>0</v>
      </c>
      <c r="O208">
        <v>1</v>
      </c>
      <c r="P208" t="s">
        <v>7</v>
      </c>
    </row>
    <row r="209" spans="1:19">
      <c r="A209" t="s">
        <v>1021</v>
      </c>
      <c r="B209" t="s">
        <v>1026</v>
      </c>
      <c r="C209">
        <v>0</v>
      </c>
      <c r="E209" t="s">
        <v>965</v>
      </c>
      <c r="G209" t="s">
        <v>1036</v>
      </c>
      <c r="H209">
        <v>0.64300000000000002</v>
      </c>
      <c r="J209">
        <v>107343046</v>
      </c>
      <c r="K209" s="2">
        <v>45069</v>
      </c>
      <c r="L209">
        <v>24</v>
      </c>
      <c r="M209">
        <v>1</v>
      </c>
      <c r="N209">
        <v>9</v>
      </c>
      <c r="O209">
        <v>1</v>
      </c>
      <c r="P209" t="s">
        <v>7</v>
      </c>
    </row>
    <row r="210" spans="1:19">
      <c r="A210" t="s">
        <v>1021</v>
      </c>
      <c r="B210" t="s">
        <v>965</v>
      </c>
      <c r="C210">
        <v>0.05</v>
      </c>
      <c r="D210" t="s">
        <v>758</v>
      </c>
      <c r="E210" t="s">
        <v>967</v>
      </c>
      <c r="F210" t="s">
        <v>968</v>
      </c>
      <c r="G210" t="s">
        <v>961</v>
      </c>
      <c r="H210">
        <v>0.161</v>
      </c>
      <c r="J210">
        <v>107458368</v>
      </c>
      <c r="K210" s="2">
        <v>45180</v>
      </c>
      <c r="L210">
        <v>1</v>
      </c>
      <c r="M210">
        <v>1</v>
      </c>
      <c r="N210">
        <v>4</v>
      </c>
      <c r="O210">
        <v>1</v>
      </c>
      <c r="P210" t="s">
        <v>9</v>
      </c>
    </row>
    <row r="211" spans="1:19">
      <c r="A211" t="s">
        <v>754</v>
      </c>
      <c r="B211" t="s">
        <v>962</v>
      </c>
      <c r="C211">
        <v>0.1</v>
      </c>
      <c r="D211" t="s">
        <v>6</v>
      </c>
      <c r="E211" t="s">
        <v>968</v>
      </c>
      <c r="F211" t="s">
        <v>973</v>
      </c>
      <c r="G211" t="s">
        <v>962</v>
      </c>
      <c r="H211">
        <v>2.1920000000000002</v>
      </c>
      <c r="J211">
        <v>108073602</v>
      </c>
      <c r="K211" s="2">
        <v>45750</v>
      </c>
      <c r="L211">
        <v>21</v>
      </c>
      <c r="M211">
        <v>1</v>
      </c>
      <c r="N211">
        <v>0</v>
      </c>
      <c r="O211">
        <v>1</v>
      </c>
      <c r="P211" t="s">
        <v>3</v>
      </c>
      <c r="Q211">
        <v>35.176965000000003</v>
      </c>
      <c r="R211">
        <v>-79.434110000000004</v>
      </c>
      <c r="S211" t="s">
        <v>761</v>
      </c>
    </row>
    <row r="212" spans="1:19">
      <c r="A212" t="s">
        <v>1021</v>
      </c>
      <c r="B212" t="s">
        <v>965</v>
      </c>
      <c r="C212">
        <v>0.15</v>
      </c>
      <c r="D212" t="s">
        <v>758</v>
      </c>
      <c r="E212" t="s">
        <v>1037</v>
      </c>
      <c r="F212" t="s">
        <v>1038</v>
      </c>
      <c r="G212" t="s">
        <v>961</v>
      </c>
      <c r="H212">
        <v>0.51500000000000001</v>
      </c>
      <c r="J212">
        <v>108545121</v>
      </c>
      <c r="K212" s="2">
        <v>46203</v>
      </c>
      <c r="L212">
        <v>18</v>
      </c>
      <c r="M212">
        <v>1</v>
      </c>
      <c r="N212">
        <v>0</v>
      </c>
      <c r="O212">
        <v>1</v>
      </c>
      <c r="P212" t="s">
        <v>7</v>
      </c>
    </row>
    <row r="213" spans="1:19">
      <c r="A213" t="s">
        <v>1021</v>
      </c>
      <c r="B213" t="s">
        <v>965</v>
      </c>
      <c r="C213">
        <v>0</v>
      </c>
      <c r="E213" t="s">
        <v>1039</v>
      </c>
      <c r="F213" t="s">
        <v>1037</v>
      </c>
      <c r="G213" t="s">
        <v>961</v>
      </c>
      <c r="H213">
        <v>0.83899999999999997</v>
      </c>
      <c r="J213">
        <v>108515575</v>
      </c>
      <c r="K213" s="2">
        <v>46165</v>
      </c>
      <c r="L213">
        <v>30</v>
      </c>
      <c r="M213">
        <v>1</v>
      </c>
      <c r="N213">
        <v>8</v>
      </c>
      <c r="O213">
        <v>1</v>
      </c>
      <c r="P213" t="s">
        <v>8</v>
      </c>
    </row>
    <row r="214" spans="1:19">
      <c r="A214" t="s">
        <v>1021</v>
      </c>
      <c r="B214" t="s">
        <v>965</v>
      </c>
      <c r="C214">
        <v>0</v>
      </c>
      <c r="E214" t="s">
        <v>965</v>
      </c>
      <c r="F214" t="s">
        <v>968</v>
      </c>
      <c r="G214" t="s">
        <v>965</v>
      </c>
      <c r="H214">
        <v>999.99900000000002</v>
      </c>
      <c r="J214">
        <v>107306995</v>
      </c>
      <c r="K214" s="2">
        <v>45033</v>
      </c>
      <c r="L214">
        <v>21</v>
      </c>
      <c r="M214">
        <v>1</v>
      </c>
      <c r="N214">
        <v>0</v>
      </c>
      <c r="O214">
        <v>1</v>
      </c>
      <c r="P214" t="s">
        <v>7</v>
      </c>
    </row>
    <row r="215" spans="1:19">
      <c r="A215" t="s">
        <v>1021</v>
      </c>
      <c r="B215" t="s">
        <v>1032</v>
      </c>
      <c r="C215">
        <v>8.9999999999999993E-3</v>
      </c>
      <c r="D215" t="s">
        <v>763</v>
      </c>
      <c r="E215" t="s">
        <v>965</v>
      </c>
      <c r="F215" t="s">
        <v>1040</v>
      </c>
      <c r="G215" t="s">
        <v>1032</v>
      </c>
      <c r="H215">
        <v>0.111</v>
      </c>
      <c r="J215">
        <v>107570219</v>
      </c>
      <c r="K215" s="2">
        <v>45280</v>
      </c>
      <c r="L215">
        <v>24</v>
      </c>
      <c r="M215">
        <v>1</v>
      </c>
      <c r="N215">
        <v>0</v>
      </c>
      <c r="O215">
        <v>1</v>
      </c>
      <c r="P215" t="s">
        <v>7</v>
      </c>
    </row>
    <row r="216" spans="1:19">
      <c r="A216" t="s">
        <v>1021</v>
      </c>
      <c r="B216" t="s">
        <v>979</v>
      </c>
      <c r="C216">
        <v>0</v>
      </c>
      <c r="D216" t="s">
        <v>757</v>
      </c>
      <c r="E216" t="s">
        <v>965</v>
      </c>
      <c r="F216" t="s">
        <v>1041</v>
      </c>
      <c r="G216" t="s">
        <v>979</v>
      </c>
      <c r="H216">
        <v>9.6630000000000003</v>
      </c>
      <c r="J216">
        <v>107255973</v>
      </c>
      <c r="K216" s="2">
        <v>44984</v>
      </c>
      <c r="L216">
        <v>28</v>
      </c>
      <c r="M216">
        <v>1</v>
      </c>
      <c r="N216">
        <v>20</v>
      </c>
      <c r="O216">
        <v>1</v>
      </c>
      <c r="P216" t="s">
        <v>7</v>
      </c>
    </row>
    <row r="217" spans="1:19">
      <c r="A217" t="s">
        <v>1021</v>
      </c>
      <c r="B217" t="s">
        <v>1042</v>
      </c>
      <c r="C217">
        <v>0</v>
      </c>
      <c r="D217" t="s">
        <v>757</v>
      </c>
      <c r="E217" t="s">
        <v>965</v>
      </c>
      <c r="F217" t="s">
        <v>1043</v>
      </c>
      <c r="G217" t="s">
        <v>965</v>
      </c>
      <c r="H217">
        <v>999.99900000000002</v>
      </c>
      <c r="J217">
        <v>107245082</v>
      </c>
      <c r="K217" s="2">
        <v>44970</v>
      </c>
      <c r="L217">
        <v>30</v>
      </c>
      <c r="M217">
        <v>1</v>
      </c>
      <c r="N217">
        <v>0</v>
      </c>
      <c r="O217">
        <v>1</v>
      </c>
      <c r="P217" t="s">
        <v>7</v>
      </c>
    </row>
    <row r="218" spans="1:19">
      <c r="A218" t="s">
        <v>1021</v>
      </c>
      <c r="B218" t="s">
        <v>965</v>
      </c>
      <c r="C218">
        <v>0.17</v>
      </c>
      <c r="D218" t="s">
        <v>758</v>
      </c>
      <c r="E218" t="s">
        <v>967</v>
      </c>
      <c r="F218" t="s">
        <v>968</v>
      </c>
      <c r="G218" t="s">
        <v>961</v>
      </c>
      <c r="H218">
        <v>4.1000000000000002E-2</v>
      </c>
      <c r="J218">
        <v>107001492</v>
      </c>
      <c r="K218" s="2">
        <v>44741</v>
      </c>
      <c r="L218">
        <v>21</v>
      </c>
      <c r="M218">
        <v>1</v>
      </c>
      <c r="N218">
        <v>7</v>
      </c>
      <c r="O218">
        <v>1</v>
      </c>
      <c r="P218" t="s">
        <v>7</v>
      </c>
    </row>
    <row r="219" spans="1:19">
      <c r="A219" t="s">
        <v>1021</v>
      </c>
      <c r="B219" t="s">
        <v>1044</v>
      </c>
      <c r="C219">
        <v>0</v>
      </c>
      <c r="D219" t="s">
        <v>757</v>
      </c>
      <c r="E219" t="s">
        <v>965</v>
      </c>
      <c r="F219" t="s">
        <v>1019</v>
      </c>
      <c r="H219">
        <v>999.99900000000002</v>
      </c>
      <c r="J219">
        <v>108048150</v>
      </c>
      <c r="K219" s="2">
        <v>45730</v>
      </c>
      <c r="L219">
        <v>30</v>
      </c>
      <c r="M219">
        <v>1</v>
      </c>
      <c r="N219">
        <v>0</v>
      </c>
      <c r="O219">
        <v>1</v>
      </c>
      <c r="P219" t="s">
        <v>7</v>
      </c>
    </row>
    <row r="220" spans="1:19">
      <c r="A220" t="s">
        <v>1021</v>
      </c>
      <c r="B220" t="s">
        <v>968</v>
      </c>
      <c r="C220">
        <v>0</v>
      </c>
      <c r="D220" t="s">
        <v>758</v>
      </c>
      <c r="E220" t="s">
        <v>964</v>
      </c>
      <c r="F220" t="s">
        <v>1045</v>
      </c>
      <c r="G220" t="s">
        <v>968</v>
      </c>
      <c r="H220">
        <v>8.1210000000000004</v>
      </c>
      <c r="J220">
        <v>107270739</v>
      </c>
      <c r="K220" s="2">
        <v>44998</v>
      </c>
      <c r="L220">
        <v>21</v>
      </c>
      <c r="M220">
        <v>2</v>
      </c>
      <c r="N220">
        <v>0</v>
      </c>
      <c r="O220">
        <v>1</v>
      </c>
      <c r="P220" t="s">
        <v>7</v>
      </c>
    </row>
    <row r="221" spans="1:19">
      <c r="A221" t="s">
        <v>1021</v>
      </c>
      <c r="B221" t="s">
        <v>965</v>
      </c>
      <c r="C221">
        <v>2.8000000000000001E-2</v>
      </c>
      <c r="D221" t="s">
        <v>758</v>
      </c>
      <c r="E221" t="s">
        <v>1033</v>
      </c>
      <c r="F221" t="s">
        <v>1032</v>
      </c>
      <c r="G221" t="s">
        <v>961</v>
      </c>
      <c r="H221">
        <v>1.865</v>
      </c>
      <c r="J221">
        <v>107500983</v>
      </c>
      <c r="K221" s="2">
        <v>45222</v>
      </c>
      <c r="L221">
        <v>21</v>
      </c>
      <c r="M221">
        <v>1</v>
      </c>
      <c r="N221">
        <v>0</v>
      </c>
      <c r="O221">
        <v>1</v>
      </c>
      <c r="P221" t="s">
        <v>7</v>
      </c>
    </row>
    <row r="222" spans="1:19">
      <c r="A222" t="s">
        <v>1021</v>
      </c>
      <c r="B222" t="s">
        <v>965</v>
      </c>
      <c r="C222">
        <v>0</v>
      </c>
      <c r="E222" t="s">
        <v>1046</v>
      </c>
      <c r="F222" t="s">
        <v>968</v>
      </c>
      <c r="H222">
        <v>999.99900000000002</v>
      </c>
      <c r="J222">
        <v>107500988</v>
      </c>
      <c r="K222" s="2">
        <v>45223</v>
      </c>
      <c r="L222">
        <v>23</v>
      </c>
      <c r="M222">
        <v>1</v>
      </c>
      <c r="N222">
        <v>8</v>
      </c>
      <c r="O222">
        <v>1</v>
      </c>
      <c r="P222" t="s">
        <v>8</v>
      </c>
    </row>
    <row r="223" spans="1:19">
      <c r="A223" t="s">
        <v>1021</v>
      </c>
      <c r="B223" t="s">
        <v>1047</v>
      </c>
      <c r="C223">
        <v>1.4E-2</v>
      </c>
      <c r="D223" t="s">
        <v>757</v>
      </c>
      <c r="E223" t="s">
        <v>965</v>
      </c>
      <c r="F223" t="s">
        <v>968</v>
      </c>
      <c r="H223">
        <v>999.99900000000002</v>
      </c>
      <c r="J223">
        <v>108173169</v>
      </c>
      <c r="K223" s="2">
        <v>45836</v>
      </c>
      <c r="L223">
        <v>19</v>
      </c>
      <c r="M223">
        <v>1</v>
      </c>
      <c r="N223">
        <v>4</v>
      </c>
      <c r="O223">
        <v>4</v>
      </c>
      <c r="P223" t="s">
        <v>7</v>
      </c>
    </row>
    <row r="224" spans="1:19">
      <c r="A224" t="s">
        <v>1021</v>
      </c>
      <c r="B224" t="s">
        <v>965</v>
      </c>
      <c r="C224">
        <v>5.7000000000000002E-2</v>
      </c>
      <c r="D224" t="s">
        <v>758</v>
      </c>
      <c r="E224" t="s">
        <v>1020</v>
      </c>
      <c r="F224" t="s">
        <v>967</v>
      </c>
      <c r="G224" t="s">
        <v>961</v>
      </c>
      <c r="H224">
        <v>0.28299999999999997</v>
      </c>
      <c r="J224">
        <v>107950519</v>
      </c>
      <c r="K224" s="2">
        <v>45633</v>
      </c>
      <c r="L224">
        <v>17</v>
      </c>
      <c r="M224">
        <v>1</v>
      </c>
      <c r="N224">
        <v>0</v>
      </c>
      <c r="O224">
        <v>5</v>
      </c>
      <c r="P224" t="s">
        <v>7</v>
      </c>
    </row>
    <row r="225" spans="1:16">
      <c r="A225" t="s">
        <v>1021</v>
      </c>
      <c r="B225" t="s">
        <v>968</v>
      </c>
      <c r="C225">
        <v>0</v>
      </c>
      <c r="E225" t="s">
        <v>965</v>
      </c>
      <c r="F225" t="s">
        <v>1023</v>
      </c>
      <c r="G225" t="s">
        <v>968</v>
      </c>
      <c r="H225">
        <v>7.75</v>
      </c>
      <c r="J225">
        <v>107260324</v>
      </c>
      <c r="K225" s="2">
        <v>44988</v>
      </c>
      <c r="L225">
        <v>28</v>
      </c>
      <c r="M225">
        <v>1</v>
      </c>
      <c r="N225">
        <v>7</v>
      </c>
      <c r="O225">
        <v>1</v>
      </c>
      <c r="P225" t="s">
        <v>7</v>
      </c>
    </row>
    <row r="226" spans="1:16">
      <c r="A226" t="s">
        <v>1021</v>
      </c>
      <c r="B226" t="s">
        <v>967</v>
      </c>
      <c r="C226">
        <v>0.1</v>
      </c>
      <c r="D226" t="s">
        <v>757</v>
      </c>
      <c r="E226" t="s">
        <v>1019</v>
      </c>
      <c r="F226" t="s">
        <v>1029</v>
      </c>
      <c r="G226" t="s">
        <v>960</v>
      </c>
      <c r="H226">
        <v>1.1439999999999999</v>
      </c>
      <c r="J226">
        <v>107149996</v>
      </c>
      <c r="K226" s="2">
        <v>44866</v>
      </c>
      <c r="L226">
        <v>22</v>
      </c>
      <c r="M226">
        <v>1</v>
      </c>
      <c r="N226">
        <v>0</v>
      </c>
      <c r="O226">
        <v>1</v>
      </c>
      <c r="P226" t="s">
        <v>7</v>
      </c>
    </row>
    <row r="227" spans="1:16">
      <c r="A227" t="s">
        <v>1021</v>
      </c>
      <c r="B227" t="s">
        <v>1048</v>
      </c>
      <c r="C227">
        <v>0</v>
      </c>
      <c r="E227" t="s">
        <v>964</v>
      </c>
      <c r="F227" t="s">
        <v>967</v>
      </c>
      <c r="G227" t="s">
        <v>964</v>
      </c>
      <c r="H227">
        <v>999.99900000000002</v>
      </c>
      <c r="J227">
        <v>107108233</v>
      </c>
      <c r="K227" s="2">
        <v>44846</v>
      </c>
      <c r="L227">
        <v>21</v>
      </c>
      <c r="M227">
        <v>1</v>
      </c>
      <c r="N227">
        <v>8</v>
      </c>
      <c r="O227">
        <v>1</v>
      </c>
      <c r="P227" t="s">
        <v>7</v>
      </c>
    </row>
    <row r="228" spans="1:16">
      <c r="A228" t="s">
        <v>1021</v>
      </c>
      <c r="B228" t="s">
        <v>964</v>
      </c>
      <c r="C228">
        <v>5.7000000000000002E-2</v>
      </c>
      <c r="D228" t="s">
        <v>762</v>
      </c>
      <c r="E228" t="s">
        <v>968</v>
      </c>
      <c r="F228" t="s">
        <v>967</v>
      </c>
      <c r="G228" t="s">
        <v>960</v>
      </c>
      <c r="H228">
        <v>0</v>
      </c>
      <c r="J228">
        <v>107720324</v>
      </c>
      <c r="K228" s="2">
        <v>45427</v>
      </c>
      <c r="L228">
        <v>21</v>
      </c>
      <c r="M228">
        <v>2</v>
      </c>
      <c r="N228">
        <v>0</v>
      </c>
      <c r="O228">
        <v>1</v>
      </c>
      <c r="P228" t="s">
        <v>7</v>
      </c>
    </row>
    <row r="229" spans="1:16">
      <c r="A229" t="s">
        <v>1021</v>
      </c>
      <c r="B229" t="s">
        <v>965</v>
      </c>
      <c r="C229">
        <v>0</v>
      </c>
      <c r="E229" t="s">
        <v>1023</v>
      </c>
      <c r="F229" t="s">
        <v>1042</v>
      </c>
      <c r="G229" t="s">
        <v>961</v>
      </c>
      <c r="H229">
        <v>0.66500000000000004</v>
      </c>
      <c r="J229">
        <v>107694687</v>
      </c>
      <c r="K229" s="2">
        <v>45401</v>
      </c>
      <c r="L229">
        <v>23</v>
      </c>
      <c r="M229">
        <v>2</v>
      </c>
      <c r="N229">
        <v>7</v>
      </c>
      <c r="O229">
        <v>1</v>
      </c>
      <c r="P229" t="s">
        <v>7</v>
      </c>
    </row>
    <row r="230" spans="1:16">
      <c r="A230" t="s">
        <v>1021</v>
      </c>
      <c r="B230" t="s">
        <v>1029</v>
      </c>
      <c r="C230">
        <v>1.9E-2</v>
      </c>
      <c r="D230" t="s">
        <v>756</v>
      </c>
      <c r="E230" t="s">
        <v>967</v>
      </c>
      <c r="F230" t="s">
        <v>1049</v>
      </c>
      <c r="H230">
        <v>999.99900000000002</v>
      </c>
      <c r="J230">
        <v>108479797</v>
      </c>
      <c r="K230" s="2">
        <v>46140</v>
      </c>
      <c r="L230">
        <v>19</v>
      </c>
      <c r="M230">
        <v>1</v>
      </c>
      <c r="N230">
        <v>0</v>
      </c>
      <c r="O230">
        <v>1</v>
      </c>
      <c r="P230" t="s">
        <v>7</v>
      </c>
    </row>
    <row r="231" spans="1:16">
      <c r="A231" t="s">
        <v>1021</v>
      </c>
      <c r="B231" t="s">
        <v>1050</v>
      </c>
      <c r="C231">
        <v>8.9999999999999993E-3</v>
      </c>
      <c r="D231" t="s">
        <v>756</v>
      </c>
      <c r="E231" t="s">
        <v>966</v>
      </c>
      <c r="F231" t="s">
        <v>1051</v>
      </c>
      <c r="G231" t="s">
        <v>969</v>
      </c>
      <c r="H231">
        <v>1.7589999999999999</v>
      </c>
      <c r="J231">
        <v>105755129</v>
      </c>
      <c r="K231" s="2">
        <v>43490</v>
      </c>
      <c r="L231">
        <v>17</v>
      </c>
      <c r="M231">
        <v>1</v>
      </c>
      <c r="N231">
        <v>0</v>
      </c>
      <c r="O231">
        <v>5</v>
      </c>
      <c r="P231" t="s">
        <v>7</v>
      </c>
    </row>
    <row r="232" spans="1:16">
      <c r="A232" t="s">
        <v>1021</v>
      </c>
      <c r="B232" t="s">
        <v>1052</v>
      </c>
      <c r="C232">
        <v>0</v>
      </c>
      <c r="E232" t="s">
        <v>965</v>
      </c>
      <c r="F232" t="s">
        <v>1053</v>
      </c>
      <c r="G232" t="s">
        <v>961</v>
      </c>
      <c r="H232">
        <v>1.431</v>
      </c>
      <c r="J232">
        <v>108487914</v>
      </c>
      <c r="K232" s="2">
        <v>46147</v>
      </c>
      <c r="L232">
        <v>28</v>
      </c>
      <c r="M232">
        <v>1</v>
      </c>
      <c r="N232">
        <v>8</v>
      </c>
      <c r="O232">
        <v>1</v>
      </c>
      <c r="P232" t="s">
        <v>7</v>
      </c>
    </row>
    <row r="233" spans="1:16">
      <c r="A233" t="s">
        <v>1021</v>
      </c>
      <c r="B233" t="s">
        <v>965</v>
      </c>
      <c r="C233">
        <v>7.5999999999999998E-2</v>
      </c>
      <c r="D233" t="s">
        <v>762</v>
      </c>
      <c r="E233" t="s">
        <v>1020</v>
      </c>
      <c r="F233" t="s">
        <v>1023</v>
      </c>
      <c r="G233" t="s">
        <v>961</v>
      </c>
      <c r="H233">
        <v>0.41599999999999998</v>
      </c>
      <c r="J233">
        <v>108324784</v>
      </c>
      <c r="K233" s="2">
        <v>45991</v>
      </c>
      <c r="L233">
        <v>17</v>
      </c>
      <c r="M233">
        <v>1</v>
      </c>
      <c r="N233">
        <v>0</v>
      </c>
      <c r="O233">
        <v>5</v>
      </c>
      <c r="P233" t="s">
        <v>7</v>
      </c>
    </row>
    <row r="234" spans="1:16">
      <c r="A234" t="s">
        <v>1021</v>
      </c>
      <c r="B234" t="s">
        <v>968</v>
      </c>
      <c r="C234">
        <v>0</v>
      </c>
      <c r="E234" t="s">
        <v>965</v>
      </c>
      <c r="G234" t="s">
        <v>968</v>
      </c>
      <c r="H234">
        <v>7.75</v>
      </c>
      <c r="J234">
        <v>107438779</v>
      </c>
      <c r="K234" s="2">
        <v>45166</v>
      </c>
      <c r="L234">
        <v>21</v>
      </c>
      <c r="M234">
        <v>2</v>
      </c>
      <c r="N234">
        <v>0</v>
      </c>
      <c r="O234">
        <v>4</v>
      </c>
      <c r="P234" t="s">
        <v>7</v>
      </c>
    </row>
    <row r="235" spans="1:16">
      <c r="A235" t="s">
        <v>1021</v>
      </c>
      <c r="B235" t="s">
        <v>965</v>
      </c>
      <c r="C235">
        <v>0.1</v>
      </c>
      <c r="D235" t="s">
        <v>756</v>
      </c>
      <c r="E235" t="s">
        <v>968</v>
      </c>
      <c r="F235" t="s">
        <v>967</v>
      </c>
      <c r="G235" t="s">
        <v>961</v>
      </c>
      <c r="H235">
        <v>0.1</v>
      </c>
      <c r="J235">
        <v>107201545</v>
      </c>
      <c r="K235" s="2">
        <v>44912</v>
      </c>
      <c r="L235">
        <v>24</v>
      </c>
      <c r="M235">
        <v>1</v>
      </c>
      <c r="N235">
        <v>8</v>
      </c>
      <c r="O235">
        <v>2</v>
      </c>
      <c r="P235" t="s">
        <v>7</v>
      </c>
    </row>
    <row r="236" spans="1:16">
      <c r="A236" t="s">
        <v>1021</v>
      </c>
      <c r="B236" t="s">
        <v>965</v>
      </c>
      <c r="C236">
        <v>0</v>
      </c>
      <c r="E236" t="s">
        <v>968</v>
      </c>
      <c r="F236" t="s">
        <v>977</v>
      </c>
      <c r="G236" t="s">
        <v>962</v>
      </c>
      <c r="H236">
        <v>2.1920000000000002</v>
      </c>
      <c r="J236">
        <v>107201553</v>
      </c>
      <c r="K236" s="2">
        <v>44905</v>
      </c>
      <c r="L236">
        <v>21</v>
      </c>
      <c r="M236">
        <v>1</v>
      </c>
      <c r="N236">
        <v>0</v>
      </c>
      <c r="O236">
        <v>1</v>
      </c>
      <c r="P236" t="s">
        <v>7</v>
      </c>
    </row>
    <row r="237" spans="1:16">
      <c r="A237" t="s">
        <v>1021</v>
      </c>
      <c r="B237" t="s">
        <v>965</v>
      </c>
      <c r="C237">
        <v>8.9999999999999993E-3</v>
      </c>
      <c r="D237" t="s">
        <v>762</v>
      </c>
      <c r="E237" t="s">
        <v>1054</v>
      </c>
      <c r="F237" t="s">
        <v>1032</v>
      </c>
      <c r="G237" t="s">
        <v>961</v>
      </c>
      <c r="H237">
        <v>1.732</v>
      </c>
      <c r="J237">
        <v>108538290</v>
      </c>
      <c r="K237" s="2">
        <v>46196</v>
      </c>
      <c r="L237">
        <v>28</v>
      </c>
      <c r="M237">
        <v>1</v>
      </c>
      <c r="N237">
        <v>0</v>
      </c>
      <c r="O237">
        <v>1</v>
      </c>
      <c r="P237" t="s">
        <v>7</v>
      </c>
    </row>
    <row r="238" spans="1:16">
      <c r="A238" t="s">
        <v>1021</v>
      </c>
      <c r="B238" t="s">
        <v>1026</v>
      </c>
      <c r="C238">
        <v>2.5000000000000001E-2</v>
      </c>
      <c r="D238" t="s">
        <v>764</v>
      </c>
      <c r="E238" t="s">
        <v>965</v>
      </c>
      <c r="F238" t="s">
        <v>1055</v>
      </c>
      <c r="G238" t="s">
        <v>1036</v>
      </c>
      <c r="H238">
        <v>0.66800000000000004</v>
      </c>
      <c r="J238">
        <v>107644548</v>
      </c>
      <c r="K238" s="2">
        <v>45352</v>
      </c>
      <c r="L238">
        <v>1</v>
      </c>
      <c r="M238">
        <v>1</v>
      </c>
      <c r="N238">
        <v>0</v>
      </c>
      <c r="O238">
        <v>4</v>
      </c>
      <c r="P238" t="s">
        <v>8</v>
      </c>
    </row>
    <row r="239" spans="1:16">
      <c r="A239" t="s">
        <v>1021</v>
      </c>
      <c r="B239" t="s">
        <v>965</v>
      </c>
      <c r="C239">
        <v>1.9E-2</v>
      </c>
      <c r="D239" t="s">
        <v>758</v>
      </c>
      <c r="E239" t="s">
        <v>1056</v>
      </c>
      <c r="F239" t="s">
        <v>1023</v>
      </c>
      <c r="G239" t="s">
        <v>961</v>
      </c>
      <c r="H239">
        <v>1.258</v>
      </c>
      <c r="J239">
        <v>107502331</v>
      </c>
      <c r="K239" s="2">
        <v>45224</v>
      </c>
      <c r="L239">
        <v>17</v>
      </c>
      <c r="M239">
        <v>1</v>
      </c>
      <c r="N239">
        <v>0</v>
      </c>
      <c r="O239">
        <v>1</v>
      </c>
      <c r="P239" t="s">
        <v>7</v>
      </c>
    </row>
    <row r="240" spans="1:16">
      <c r="A240" t="s">
        <v>1021</v>
      </c>
      <c r="B240" t="s">
        <v>1035</v>
      </c>
      <c r="C240">
        <v>0</v>
      </c>
      <c r="D240" t="s">
        <v>758</v>
      </c>
      <c r="E240" t="s">
        <v>965</v>
      </c>
      <c r="F240" t="s">
        <v>1033</v>
      </c>
      <c r="G240" t="s">
        <v>1036</v>
      </c>
      <c r="H240">
        <v>0.48</v>
      </c>
      <c r="J240">
        <v>108489046</v>
      </c>
      <c r="K240" s="2">
        <v>46148</v>
      </c>
      <c r="L240">
        <v>21</v>
      </c>
      <c r="M240">
        <v>1</v>
      </c>
      <c r="N240">
        <v>7</v>
      </c>
      <c r="O240">
        <v>1</v>
      </c>
      <c r="P240" t="s">
        <v>7</v>
      </c>
    </row>
    <row r="241" spans="1:19">
      <c r="A241" t="s">
        <v>1021</v>
      </c>
      <c r="B241" t="s">
        <v>962</v>
      </c>
      <c r="C241">
        <v>6.0000000000000001E-3</v>
      </c>
      <c r="D241" t="s">
        <v>758</v>
      </c>
      <c r="E241" t="s">
        <v>968</v>
      </c>
      <c r="F241" t="s">
        <v>986</v>
      </c>
      <c r="G241" t="s">
        <v>962</v>
      </c>
      <c r="H241">
        <v>2.1859999999999999</v>
      </c>
      <c r="J241">
        <v>107654956</v>
      </c>
      <c r="K241" s="2">
        <v>45363</v>
      </c>
      <c r="L241">
        <v>28</v>
      </c>
      <c r="M241">
        <v>1</v>
      </c>
      <c r="N241">
        <v>0</v>
      </c>
      <c r="O241">
        <v>1</v>
      </c>
      <c r="P241" t="s">
        <v>7</v>
      </c>
      <c r="Q241">
        <v>35.177266000000003</v>
      </c>
      <c r="R241">
        <v>-79.432550000000006</v>
      </c>
      <c r="S241" t="s">
        <v>761</v>
      </c>
    </row>
    <row r="242" spans="1:19">
      <c r="A242" t="s">
        <v>1021</v>
      </c>
      <c r="B242" t="s">
        <v>1057</v>
      </c>
      <c r="C242">
        <v>1.9E-2</v>
      </c>
      <c r="D242" t="s">
        <v>757</v>
      </c>
      <c r="E242" t="s">
        <v>965</v>
      </c>
      <c r="F242" t="s">
        <v>1018</v>
      </c>
      <c r="H242">
        <v>999.99900000000002</v>
      </c>
      <c r="J242">
        <v>108104074</v>
      </c>
      <c r="K242" s="2">
        <v>45785</v>
      </c>
      <c r="L242">
        <v>31</v>
      </c>
      <c r="M242">
        <v>1</v>
      </c>
      <c r="N242">
        <v>0</v>
      </c>
      <c r="O242">
        <v>1</v>
      </c>
      <c r="P242" t="s">
        <v>7</v>
      </c>
    </row>
    <row r="243" spans="1:19">
      <c r="A243" t="s">
        <v>1021</v>
      </c>
      <c r="B243" t="s">
        <v>1048</v>
      </c>
      <c r="C243">
        <v>0</v>
      </c>
      <c r="D243" t="s">
        <v>757</v>
      </c>
      <c r="E243" t="s">
        <v>964</v>
      </c>
      <c r="F243" t="s">
        <v>1058</v>
      </c>
      <c r="G243" t="s">
        <v>964</v>
      </c>
      <c r="H243">
        <v>999.99900000000002</v>
      </c>
      <c r="J243">
        <v>107893113</v>
      </c>
      <c r="K243" s="2">
        <v>44855</v>
      </c>
      <c r="L243">
        <v>19</v>
      </c>
      <c r="M243">
        <v>1</v>
      </c>
      <c r="N243">
        <v>0</v>
      </c>
      <c r="O243">
        <v>6</v>
      </c>
      <c r="P243" t="s">
        <v>7</v>
      </c>
    </row>
    <row r="244" spans="1:19">
      <c r="A244" t="s">
        <v>1021</v>
      </c>
      <c r="B244" t="s">
        <v>965</v>
      </c>
      <c r="C244">
        <v>0</v>
      </c>
      <c r="D244" t="s">
        <v>6</v>
      </c>
      <c r="E244" t="s">
        <v>963</v>
      </c>
      <c r="F244" t="s">
        <v>967</v>
      </c>
      <c r="G244" t="s">
        <v>961</v>
      </c>
      <c r="H244">
        <v>0.21099999999999999</v>
      </c>
      <c r="J244">
        <v>107813734</v>
      </c>
      <c r="K244" s="2">
        <v>45516</v>
      </c>
      <c r="L244">
        <v>30</v>
      </c>
      <c r="M244">
        <v>1</v>
      </c>
      <c r="N244">
        <v>0</v>
      </c>
      <c r="O244">
        <v>1</v>
      </c>
      <c r="P244" t="s">
        <v>7</v>
      </c>
    </row>
    <row r="245" spans="1:19">
      <c r="A245" t="s">
        <v>1021</v>
      </c>
      <c r="B245" t="s">
        <v>1054</v>
      </c>
      <c r="C245">
        <v>0</v>
      </c>
      <c r="E245" t="s">
        <v>965</v>
      </c>
      <c r="F245" t="s">
        <v>1040</v>
      </c>
      <c r="G245" t="s">
        <v>961</v>
      </c>
      <c r="H245">
        <v>1.7230000000000001</v>
      </c>
      <c r="J245">
        <v>108066279</v>
      </c>
      <c r="K245" s="2">
        <v>45749</v>
      </c>
      <c r="L245">
        <v>21</v>
      </c>
      <c r="M245">
        <v>1</v>
      </c>
      <c r="N245">
        <v>8</v>
      </c>
      <c r="O245">
        <v>1</v>
      </c>
      <c r="P245" t="s">
        <v>7</v>
      </c>
    </row>
    <row r="246" spans="1:19">
      <c r="A246" t="s">
        <v>1021</v>
      </c>
      <c r="B246" t="s">
        <v>968</v>
      </c>
      <c r="C246">
        <v>0</v>
      </c>
      <c r="E246" t="s">
        <v>965</v>
      </c>
      <c r="G246" t="s">
        <v>968</v>
      </c>
      <c r="H246">
        <v>7.75</v>
      </c>
      <c r="J246">
        <v>107764253</v>
      </c>
      <c r="K246" s="2">
        <v>45469</v>
      </c>
      <c r="L246">
        <v>30</v>
      </c>
      <c r="M246">
        <v>1</v>
      </c>
      <c r="N246">
        <v>7</v>
      </c>
      <c r="O246">
        <v>1</v>
      </c>
      <c r="P246" t="s">
        <v>7</v>
      </c>
    </row>
    <row r="247" spans="1:19">
      <c r="A247" t="s">
        <v>1021</v>
      </c>
      <c r="B247" t="s">
        <v>965</v>
      </c>
      <c r="C247">
        <v>0</v>
      </c>
      <c r="E247" t="s">
        <v>967</v>
      </c>
      <c r="G247" t="s">
        <v>961</v>
      </c>
      <c r="H247">
        <v>0.21099999999999999</v>
      </c>
      <c r="J247">
        <v>107007989</v>
      </c>
      <c r="K247" s="2">
        <v>44748</v>
      </c>
      <c r="L247">
        <v>30</v>
      </c>
      <c r="M247">
        <v>1</v>
      </c>
      <c r="N247">
        <v>7</v>
      </c>
      <c r="O247">
        <v>1</v>
      </c>
      <c r="P247" t="s">
        <v>7</v>
      </c>
    </row>
    <row r="248" spans="1:19">
      <c r="A248" t="s">
        <v>1021</v>
      </c>
      <c r="B248" t="s">
        <v>965</v>
      </c>
      <c r="C248">
        <v>0</v>
      </c>
      <c r="E248" t="s">
        <v>1059</v>
      </c>
      <c r="F248" t="s">
        <v>1054</v>
      </c>
      <c r="H248">
        <v>999.99900000000002</v>
      </c>
      <c r="J248">
        <v>107536946</v>
      </c>
      <c r="K248" s="2">
        <v>45251</v>
      </c>
      <c r="L248">
        <v>21</v>
      </c>
      <c r="M248">
        <v>2</v>
      </c>
      <c r="N248">
        <v>8</v>
      </c>
      <c r="O248">
        <v>1</v>
      </c>
      <c r="P248" t="s">
        <v>7</v>
      </c>
    </row>
    <row r="249" spans="1:19">
      <c r="A249" t="s">
        <v>1021</v>
      </c>
      <c r="B249" t="s">
        <v>968</v>
      </c>
      <c r="C249">
        <v>0</v>
      </c>
      <c r="E249" t="s">
        <v>965</v>
      </c>
      <c r="F249" t="s">
        <v>963</v>
      </c>
      <c r="G249" t="s">
        <v>968</v>
      </c>
      <c r="H249">
        <v>7.75</v>
      </c>
      <c r="J249">
        <v>108001600</v>
      </c>
      <c r="K249" s="2">
        <v>45681</v>
      </c>
      <c r="L249">
        <v>31</v>
      </c>
      <c r="M249">
        <v>1</v>
      </c>
      <c r="N249">
        <v>7</v>
      </c>
      <c r="O249">
        <v>4</v>
      </c>
      <c r="P249" t="s">
        <v>7</v>
      </c>
    </row>
    <row r="250" spans="1:19">
      <c r="A250" t="s">
        <v>1021</v>
      </c>
      <c r="B250" t="s">
        <v>967</v>
      </c>
      <c r="C250">
        <v>0.1</v>
      </c>
      <c r="D250" t="s">
        <v>6</v>
      </c>
      <c r="E250" t="s">
        <v>1029</v>
      </c>
      <c r="F250" t="s">
        <v>965</v>
      </c>
      <c r="G250" t="s">
        <v>960</v>
      </c>
      <c r="H250">
        <v>1.0109999999999999</v>
      </c>
      <c r="J250">
        <v>107753861</v>
      </c>
      <c r="K250" s="2">
        <v>45459</v>
      </c>
      <c r="L250">
        <v>19</v>
      </c>
      <c r="M250">
        <v>1</v>
      </c>
      <c r="N250">
        <v>0</v>
      </c>
      <c r="O250">
        <v>1</v>
      </c>
      <c r="P250" t="s">
        <v>7</v>
      </c>
    </row>
    <row r="251" spans="1:19">
      <c r="A251" t="s">
        <v>1021</v>
      </c>
      <c r="B251" t="s">
        <v>965</v>
      </c>
      <c r="C251">
        <v>1.9E-2</v>
      </c>
      <c r="D251" t="s">
        <v>765</v>
      </c>
      <c r="E251" t="s">
        <v>1023</v>
      </c>
      <c r="F251" t="s">
        <v>1020</v>
      </c>
      <c r="G251" t="s">
        <v>961</v>
      </c>
      <c r="H251">
        <v>0.64600000000000002</v>
      </c>
      <c r="J251">
        <v>107644019</v>
      </c>
      <c r="K251" s="2">
        <v>45355</v>
      </c>
      <c r="L251">
        <v>21</v>
      </c>
      <c r="M251">
        <v>1</v>
      </c>
      <c r="N251">
        <v>0</v>
      </c>
      <c r="O251">
        <v>1</v>
      </c>
      <c r="P251" t="s">
        <v>7</v>
      </c>
    </row>
    <row r="252" spans="1:19">
      <c r="A252" t="s">
        <v>1021</v>
      </c>
      <c r="B252" t="s">
        <v>966</v>
      </c>
      <c r="C252">
        <v>0</v>
      </c>
      <c r="E252" t="s">
        <v>1028</v>
      </c>
      <c r="F252" t="s">
        <v>1050</v>
      </c>
      <c r="H252">
        <v>999.99900000000002</v>
      </c>
      <c r="J252">
        <v>108419482</v>
      </c>
      <c r="K252" s="2">
        <v>46084</v>
      </c>
      <c r="L252">
        <v>30</v>
      </c>
      <c r="M252">
        <v>1</v>
      </c>
      <c r="N252">
        <v>7</v>
      </c>
      <c r="O252">
        <v>1</v>
      </c>
      <c r="P252" t="s">
        <v>7</v>
      </c>
    </row>
    <row r="253" spans="1:19">
      <c r="A253" t="s">
        <v>1021</v>
      </c>
      <c r="B253" t="s">
        <v>965</v>
      </c>
      <c r="C253">
        <v>3.1E-2</v>
      </c>
      <c r="D253" t="s">
        <v>758</v>
      </c>
      <c r="E253" t="s">
        <v>1032</v>
      </c>
      <c r="F253" t="s">
        <v>1054</v>
      </c>
      <c r="G253" t="s">
        <v>961</v>
      </c>
      <c r="H253">
        <v>1.8120000000000001</v>
      </c>
      <c r="J253">
        <v>108064315</v>
      </c>
      <c r="K253" s="2">
        <v>45747</v>
      </c>
      <c r="L253">
        <v>30</v>
      </c>
      <c r="M253">
        <v>1</v>
      </c>
      <c r="N253">
        <v>8</v>
      </c>
      <c r="O253">
        <v>1</v>
      </c>
      <c r="P253" t="s">
        <v>7</v>
      </c>
    </row>
    <row r="254" spans="1:19">
      <c r="A254" t="s">
        <v>1021</v>
      </c>
      <c r="B254" t="s">
        <v>965</v>
      </c>
      <c r="C254">
        <v>0</v>
      </c>
      <c r="E254" t="s">
        <v>1033</v>
      </c>
      <c r="F254" t="s">
        <v>1035</v>
      </c>
      <c r="G254" t="s">
        <v>961</v>
      </c>
      <c r="H254">
        <v>1.893</v>
      </c>
      <c r="J254">
        <v>108258176</v>
      </c>
      <c r="K254" s="2">
        <v>45937</v>
      </c>
      <c r="L254">
        <v>21</v>
      </c>
      <c r="M254">
        <v>1</v>
      </c>
      <c r="N254">
        <v>7</v>
      </c>
      <c r="O254">
        <v>1</v>
      </c>
      <c r="P254" t="s">
        <v>3</v>
      </c>
    </row>
    <row r="255" spans="1:19">
      <c r="A255" t="s">
        <v>754</v>
      </c>
      <c r="B255" t="s">
        <v>962</v>
      </c>
      <c r="C255">
        <v>4.0000000000000001E-3</v>
      </c>
      <c r="D255" t="s">
        <v>756</v>
      </c>
      <c r="E255" t="s">
        <v>968</v>
      </c>
      <c r="F255" t="s">
        <v>1024</v>
      </c>
      <c r="G255" t="s">
        <v>962</v>
      </c>
      <c r="H255">
        <v>2.1920000000000002</v>
      </c>
      <c r="J255">
        <v>108600406</v>
      </c>
      <c r="K255" s="2">
        <v>46257</v>
      </c>
      <c r="L255">
        <v>21</v>
      </c>
      <c r="M255">
        <v>1</v>
      </c>
      <c r="N255">
        <v>0</v>
      </c>
      <c r="O255">
        <v>1</v>
      </c>
      <c r="P255" t="s">
        <v>3</v>
      </c>
      <c r="Q255">
        <v>35.177579999999999</v>
      </c>
      <c r="R255">
        <v>-79.431340000000006</v>
      </c>
      <c r="S255" t="s">
        <v>755</v>
      </c>
    </row>
    <row r="256" spans="1:19">
      <c r="A256" t="s">
        <v>1021</v>
      </c>
      <c r="B256" t="s">
        <v>1023</v>
      </c>
      <c r="C256">
        <v>0</v>
      </c>
      <c r="E256" t="s">
        <v>965</v>
      </c>
      <c r="F256" t="s">
        <v>1042</v>
      </c>
      <c r="G256" t="s">
        <v>961</v>
      </c>
      <c r="H256">
        <v>0.66500000000000004</v>
      </c>
      <c r="J256">
        <v>107920550</v>
      </c>
      <c r="K256" s="2">
        <v>45610</v>
      </c>
      <c r="L256">
        <v>15</v>
      </c>
      <c r="M256">
        <v>1</v>
      </c>
      <c r="N256">
        <v>0</v>
      </c>
      <c r="O256">
        <v>1</v>
      </c>
      <c r="P256" t="s">
        <v>3</v>
      </c>
      <c r="Q256">
        <v>35.175645000000003</v>
      </c>
      <c r="R256">
        <v>-79.420618000000005</v>
      </c>
      <c r="S256" t="s">
        <v>1060</v>
      </c>
    </row>
    <row r="257" spans="1:19">
      <c r="A257" t="s">
        <v>1021</v>
      </c>
      <c r="B257" t="s">
        <v>967</v>
      </c>
      <c r="C257">
        <v>0</v>
      </c>
      <c r="E257" t="s">
        <v>1029</v>
      </c>
      <c r="F257" t="s">
        <v>966</v>
      </c>
      <c r="G257" t="s">
        <v>960</v>
      </c>
      <c r="H257">
        <v>0.91100000000000003</v>
      </c>
      <c r="J257">
        <v>107685715</v>
      </c>
      <c r="K257" s="2">
        <v>45393</v>
      </c>
      <c r="L257">
        <v>1</v>
      </c>
      <c r="M257">
        <v>2</v>
      </c>
      <c r="N257">
        <v>0</v>
      </c>
      <c r="O257">
        <v>1</v>
      </c>
      <c r="P257" t="s">
        <v>7</v>
      </c>
    </row>
    <row r="258" spans="1:19">
      <c r="A258" t="s">
        <v>1021</v>
      </c>
      <c r="B258" t="s">
        <v>965</v>
      </c>
      <c r="C258">
        <v>5.0000000000000001E-3</v>
      </c>
      <c r="D258" t="s">
        <v>758</v>
      </c>
      <c r="E258" t="s">
        <v>968</v>
      </c>
      <c r="G258" t="s">
        <v>962</v>
      </c>
      <c r="H258">
        <v>2.1869999999999998</v>
      </c>
      <c r="J258">
        <v>107438194</v>
      </c>
      <c r="K258" s="2">
        <v>45166</v>
      </c>
      <c r="L258">
        <v>22</v>
      </c>
      <c r="M258">
        <v>2</v>
      </c>
      <c r="N258">
        <v>0</v>
      </c>
      <c r="O258">
        <v>1</v>
      </c>
      <c r="P258" t="s">
        <v>7</v>
      </c>
    </row>
    <row r="259" spans="1:19">
      <c r="A259" t="s">
        <v>1021</v>
      </c>
      <c r="B259" t="s">
        <v>968</v>
      </c>
      <c r="C259">
        <v>8.9999999999999993E-3</v>
      </c>
      <c r="D259" t="s">
        <v>765</v>
      </c>
      <c r="E259" t="s">
        <v>965</v>
      </c>
      <c r="G259" t="s">
        <v>968</v>
      </c>
      <c r="H259">
        <v>7.7590000000000003</v>
      </c>
      <c r="J259">
        <v>107928263</v>
      </c>
      <c r="K259" s="2">
        <v>45616</v>
      </c>
      <c r="L259">
        <v>21</v>
      </c>
      <c r="M259">
        <v>2</v>
      </c>
      <c r="N259">
        <v>7</v>
      </c>
      <c r="O259">
        <v>1</v>
      </c>
      <c r="P259" t="s">
        <v>7</v>
      </c>
    </row>
    <row r="260" spans="1:19">
      <c r="A260" t="s">
        <v>754</v>
      </c>
      <c r="B260" t="s">
        <v>962</v>
      </c>
      <c r="C260">
        <v>9.5000000000000001E-2</v>
      </c>
      <c r="D260" t="s">
        <v>758</v>
      </c>
      <c r="E260" t="s">
        <v>968</v>
      </c>
      <c r="F260" t="s">
        <v>973</v>
      </c>
      <c r="G260" t="s">
        <v>962</v>
      </c>
      <c r="H260">
        <v>2.097</v>
      </c>
      <c r="J260">
        <v>107542817</v>
      </c>
      <c r="K260" s="2">
        <v>45257</v>
      </c>
      <c r="L260">
        <v>28</v>
      </c>
      <c r="M260">
        <v>1</v>
      </c>
      <c r="N260">
        <v>0</v>
      </c>
      <c r="O260">
        <v>1</v>
      </c>
      <c r="P260" t="s">
        <v>7</v>
      </c>
      <c r="Q260">
        <v>35.177100000000003</v>
      </c>
      <c r="R260">
        <v>-79.433030000000002</v>
      </c>
      <c r="S260" t="s">
        <v>761</v>
      </c>
    </row>
    <row r="261" spans="1:19">
      <c r="A261" t="s">
        <v>1021</v>
      </c>
      <c r="B261" t="s">
        <v>1033</v>
      </c>
      <c r="C261">
        <v>3.0000000000000001E-3</v>
      </c>
      <c r="D261" t="s">
        <v>756</v>
      </c>
      <c r="E261" t="s">
        <v>965</v>
      </c>
      <c r="F261" t="s">
        <v>1032</v>
      </c>
      <c r="G261" t="s">
        <v>1036</v>
      </c>
      <c r="H261">
        <v>0.48299999999999998</v>
      </c>
      <c r="I261" t="s">
        <v>61</v>
      </c>
      <c r="J261">
        <v>107879445</v>
      </c>
      <c r="K261" s="2">
        <v>45574</v>
      </c>
      <c r="L261">
        <v>21</v>
      </c>
      <c r="M261">
        <v>1</v>
      </c>
      <c r="N261">
        <v>0</v>
      </c>
      <c r="O261">
        <v>1</v>
      </c>
      <c r="P261" t="s">
        <v>7</v>
      </c>
    </row>
    <row r="262" spans="1:19">
      <c r="A262" t="s">
        <v>1021</v>
      </c>
      <c r="B262" t="s">
        <v>965</v>
      </c>
      <c r="C262">
        <v>0</v>
      </c>
      <c r="D262" t="s">
        <v>756</v>
      </c>
      <c r="E262" t="s">
        <v>967</v>
      </c>
      <c r="F262" t="s">
        <v>963</v>
      </c>
      <c r="G262" t="s">
        <v>961</v>
      </c>
      <c r="H262">
        <v>0.21099999999999999</v>
      </c>
      <c r="J262">
        <v>107447464</v>
      </c>
      <c r="K262" s="2">
        <v>45174</v>
      </c>
      <c r="L262">
        <v>21</v>
      </c>
      <c r="M262">
        <v>1</v>
      </c>
      <c r="N262">
        <v>7</v>
      </c>
      <c r="O262">
        <v>1</v>
      </c>
      <c r="P262" t="s">
        <v>7</v>
      </c>
    </row>
    <row r="263" spans="1:19">
      <c r="A263" t="s">
        <v>1021</v>
      </c>
      <c r="B263" t="s">
        <v>965</v>
      </c>
      <c r="C263">
        <v>0.13800000000000001</v>
      </c>
      <c r="D263" t="s">
        <v>756</v>
      </c>
      <c r="E263" t="s">
        <v>968</v>
      </c>
      <c r="F263" t="s">
        <v>967</v>
      </c>
      <c r="G263" t="s">
        <v>961</v>
      </c>
      <c r="H263">
        <v>0.13800000000000001</v>
      </c>
      <c r="J263">
        <v>108421756</v>
      </c>
      <c r="K263" s="2">
        <v>46086</v>
      </c>
      <c r="L263">
        <v>28</v>
      </c>
      <c r="M263">
        <v>1</v>
      </c>
      <c r="N263">
        <v>0</v>
      </c>
      <c r="O263">
        <v>2</v>
      </c>
      <c r="P263" t="s">
        <v>7</v>
      </c>
    </row>
    <row r="264" spans="1:19">
      <c r="A264" t="s">
        <v>1021</v>
      </c>
      <c r="B264" t="s">
        <v>965</v>
      </c>
      <c r="C264">
        <v>0</v>
      </c>
      <c r="E264" t="s">
        <v>1023</v>
      </c>
      <c r="F264" t="s">
        <v>1039</v>
      </c>
      <c r="G264" t="s">
        <v>961</v>
      </c>
      <c r="H264">
        <v>0.66500000000000004</v>
      </c>
      <c r="J264">
        <v>107720323</v>
      </c>
      <c r="K264" s="2">
        <v>45427</v>
      </c>
      <c r="L264">
        <v>24</v>
      </c>
      <c r="M264">
        <v>1</v>
      </c>
      <c r="N264">
        <v>0</v>
      </c>
      <c r="O264">
        <v>1</v>
      </c>
      <c r="P264" t="s">
        <v>7</v>
      </c>
    </row>
    <row r="265" spans="1:19">
      <c r="A265" t="s">
        <v>1021</v>
      </c>
      <c r="B265" t="s">
        <v>965</v>
      </c>
      <c r="C265">
        <v>8.5999999999999993E-2</v>
      </c>
      <c r="D265" t="s">
        <v>758</v>
      </c>
      <c r="E265" t="s">
        <v>1038</v>
      </c>
      <c r="F265" t="s">
        <v>1039</v>
      </c>
      <c r="G265" t="s">
        <v>965</v>
      </c>
      <c r="H265">
        <v>999.99900000000002</v>
      </c>
      <c r="J265">
        <v>108596417</v>
      </c>
      <c r="K265" s="2">
        <v>46255</v>
      </c>
      <c r="L265">
        <v>17</v>
      </c>
      <c r="M265">
        <v>1</v>
      </c>
      <c r="N265">
        <v>0</v>
      </c>
      <c r="O265">
        <v>1</v>
      </c>
      <c r="P265" t="s">
        <v>7</v>
      </c>
    </row>
    <row r="266" spans="1:19">
      <c r="A266" t="s">
        <v>1021</v>
      </c>
      <c r="B266" t="s">
        <v>965</v>
      </c>
      <c r="C266">
        <v>0</v>
      </c>
      <c r="D266" t="s">
        <v>762</v>
      </c>
      <c r="E266" t="s">
        <v>979</v>
      </c>
      <c r="F266" t="s">
        <v>1054</v>
      </c>
      <c r="G266" t="s">
        <v>961</v>
      </c>
      <c r="H266">
        <v>1.5960000000000001</v>
      </c>
      <c r="J266">
        <v>107034777</v>
      </c>
      <c r="K266" s="2">
        <v>44776</v>
      </c>
      <c r="L266">
        <v>30</v>
      </c>
      <c r="M266">
        <v>1</v>
      </c>
      <c r="N266">
        <v>1</v>
      </c>
      <c r="O266">
        <v>1</v>
      </c>
      <c r="P266" t="s">
        <v>7</v>
      </c>
    </row>
    <row r="267" spans="1:19">
      <c r="A267" t="s">
        <v>1021</v>
      </c>
      <c r="B267" t="s">
        <v>985</v>
      </c>
      <c r="C267">
        <v>8.9999999999999993E-3</v>
      </c>
      <c r="D267" t="s">
        <v>765</v>
      </c>
      <c r="E267" t="s">
        <v>965</v>
      </c>
      <c r="F267" t="s">
        <v>985</v>
      </c>
      <c r="H267">
        <v>999.99900000000002</v>
      </c>
      <c r="J267">
        <v>107612188</v>
      </c>
      <c r="K267" s="2">
        <v>45324</v>
      </c>
      <c r="L267">
        <v>19</v>
      </c>
      <c r="M267">
        <v>1</v>
      </c>
      <c r="N267">
        <v>0</v>
      </c>
      <c r="O267">
        <v>1</v>
      </c>
    </row>
    <row r="268" spans="1:19">
      <c r="A268" t="s">
        <v>1021</v>
      </c>
      <c r="B268" t="s">
        <v>1032</v>
      </c>
      <c r="C268">
        <v>1.9E-2</v>
      </c>
      <c r="D268" t="s">
        <v>757</v>
      </c>
      <c r="E268" t="s">
        <v>965</v>
      </c>
      <c r="F268" t="s">
        <v>1040</v>
      </c>
      <c r="G268" t="s">
        <v>1032</v>
      </c>
      <c r="H268">
        <v>0.13900000000000001</v>
      </c>
      <c r="J268">
        <v>107201549</v>
      </c>
      <c r="K268" s="2">
        <v>44914</v>
      </c>
      <c r="L268">
        <v>29</v>
      </c>
      <c r="M268">
        <v>1</v>
      </c>
      <c r="N268">
        <v>0</v>
      </c>
      <c r="O268">
        <v>5</v>
      </c>
      <c r="P268" t="s">
        <v>3</v>
      </c>
    </row>
    <row r="269" spans="1:19">
      <c r="A269" t="s">
        <v>1021</v>
      </c>
      <c r="B269" t="s">
        <v>965</v>
      </c>
      <c r="C269">
        <v>0</v>
      </c>
      <c r="E269" t="s">
        <v>1061</v>
      </c>
      <c r="F269" t="s">
        <v>1062</v>
      </c>
      <c r="G269" t="s">
        <v>1063</v>
      </c>
      <c r="H269">
        <v>0.48399999999999999</v>
      </c>
      <c r="J269">
        <v>107936452</v>
      </c>
      <c r="K269" s="2">
        <v>45622</v>
      </c>
      <c r="L269">
        <v>23</v>
      </c>
      <c r="M269">
        <v>1</v>
      </c>
      <c r="N269">
        <v>8</v>
      </c>
      <c r="O269">
        <v>1</v>
      </c>
      <c r="P269" t="s">
        <v>7</v>
      </c>
    </row>
    <row r="270" spans="1:19">
      <c r="A270" t="s">
        <v>1021</v>
      </c>
      <c r="B270" t="s">
        <v>965</v>
      </c>
      <c r="C270">
        <v>0</v>
      </c>
      <c r="E270" t="s">
        <v>1038</v>
      </c>
      <c r="F270" t="s">
        <v>1064</v>
      </c>
      <c r="G270" t="s">
        <v>965</v>
      </c>
      <c r="H270">
        <v>999.99900000000002</v>
      </c>
      <c r="J270">
        <v>108545089</v>
      </c>
      <c r="K270" s="2">
        <v>46203</v>
      </c>
      <c r="L270">
        <v>30</v>
      </c>
      <c r="M270">
        <v>1</v>
      </c>
      <c r="N270">
        <v>0</v>
      </c>
      <c r="O270">
        <v>1</v>
      </c>
      <c r="P270" t="s">
        <v>7</v>
      </c>
    </row>
    <row r="271" spans="1:19">
      <c r="A271" t="s">
        <v>1021</v>
      </c>
      <c r="B271" t="s">
        <v>1065</v>
      </c>
      <c r="C271">
        <v>0</v>
      </c>
      <c r="E271" t="s">
        <v>965</v>
      </c>
      <c r="H271">
        <v>999.99900000000002</v>
      </c>
      <c r="J271">
        <v>107213554</v>
      </c>
      <c r="K271" s="2">
        <v>44942</v>
      </c>
      <c r="L271">
        <v>20</v>
      </c>
      <c r="M271">
        <v>1</v>
      </c>
      <c r="N271">
        <v>0</v>
      </c>
      <c r="O271">
        <v>1</v>
      </c>
      <c r="P271" t="s">
        <v>7</v>
      </c>
    </row>
    <row r="272" spans="1:19">
      <c r="A272" t="s">
        <v>1021</v>
      </c>
      <c r="B272" t="s">
        <v>968</v>
      </c>
      <c r="C272">
        <v>6.0000000000000001E-3</v>
      </c>
      <c r="D272" t="s">
        <v>6</v>
      </c>
      <c r="E272" t="s">
        <v>962</v>
      </c>
      <c r="F272" t="s">
        <v>1024</v>
      </c>
      <c r="G272" t="s">
        <v>968</v>
      </c>
      <c r="H272">
        <v>7.7439999999999998</v>
      </c>
      <c r="J272">
        <v>106883933</v>
      </c>
      <c r="K272" s="2">
        <v>44621</v>
      </c>
      <c r="L272">
        <v>21</v>
      </c>
      <c r="M272">
        <v>1</v>
      </c>
      <c r="N272">
        <v>0</v>
      </c>
      <c r="O272">
        <v>1</v>
      </c>
      <c r="P272" t="s">
        <v>7</v>
      </c>
    </row>
    <row r="273" spans="1:19">
      <c r="A273" t="s">
        <v>1021</v>
      </c>
      <c r="B273" t="s">
        <v>965</v>
      </c>
      <c r="C273">
        <v>7.8E-2</v>
      </c>
      <c r="D273" t="s">
        <v>6</v>
      </c>
      <c r="E273" t="s">
        <v>1042</v>
      </c>
      <c r="F273" t="s">
        <v>1056</v>
      </c>
      <c r="G273" t="s">
        <v>965</v>
      </c>
      <c r="H273">
        <v>999.99900000000002</v>
      </c>
      <c r="J273">
        <v>107107108</v>
      </c>
      <c r="K273" s="2">
        <v>44845</v>
      </c>
      <c r="L273">
        <v>24</v>
      </c>
      <c r="M273">
        <v>1</v>
      </c>
      <c r="N273">
        <v>12</v>
      </c>
      <c r="O273">
        <v>1</v>
      </c>
      <c r="P273" t="s">
        <v>7</v>
      </c>
    </row>
    <row r="274" spans="1:19">
      <c r="A274" t="s">
        <v>1021</v>
      </c>
      <c r="B274" t="s">
        <v>1023</v>
      </c>
      <c r="C274">
        <v>0</v>
      </c>
      <c r="E274" t="s">
        <v>965</v>
      </c>
      <c r="F274" t="s">
        <v>1037</v>
      </c>
      <c r="G274" t="s">
        <v>961</v>
      </c>
      <c r="H274">
        <v>0.66500000000000004</v>
      </c>
      <c r="J274">
        <v>107506776</v>
      </c>
      <c r="K274" s="2">
        <v>45228</v>
      </c>
      <c r="L274">
        <v>26</v>
      </c>
      <c r="M274">
        <v>1</v>
      </c>
      <c r="N274">
        <v>7</v>
      </c>
      <c r="O274">
        <v>1</v>
      </c>
      <c r="P274" t="s">
        <v>7</v>
      </c>
    </row>
    <row r="275" spans="1:19">
      <c r="A275" t="s">
        <v>1021</v>
      </c>
      <c r="B275" t="s">
        <v>965</v>
      </c>
      <c r="C275">
        <v>0</v>
      </c>
      <c r="E275" t="s">
        <v>979</v>
      </c>
      <c r="G275" t="s">
        <v>961</v>
      </c>
      <c r="H275">
        <v>1.5960000000000001</v>
      </c>
      <c r="J275">
        <v>108339105</v>
      </c>
      <c r="K275" s="2">
        <v>46007</v>
      </c>
      <c r="L275">
        <v>30</v>
      </c>
      <c r="M275">
        <v>1</v>
      </c>
      <c r="N275">
        <v>0</v>
      </c>
      <c r="O275">
        <v>4</v>
      </c>
      <c r="P275" t="s">
        <v>7</v>
      </c>
    </row>
    <row r="276" spans="1:19">
      <c r="A276" t="s">
        <v>1021</v>
      </c>
      <c r="B276" t="s">
        <v>965</v>
      </c>
      <c r="C276">
        <v>1.9E-2</v>
      </c>
      <c r="D276" t="s">
        <v>758</v>
      </c>
      <c r="E276" t="s">
        <v>1066</v>
      </c>
      <c r="F276" t="s">
        <v>1052</v>
      </c>
      <c r="H276">
        <v>999.99900000000002</v>
      </c>
      <c r="J276">
        <v>108048728</v>
      </c>
      <c r="K276" s="2">
        <v>45732</v>
      </c>
      <c r="L276">
        <v>19</v>
      </c>
      <c r="M276">
        <v>2</v>
      </c>
      <c r="N276">
        <v>0</v>
      </c>
      <c r="O276">
        <v>1</v>
      </c>
      <c r="P276" t="s">
        <v>7</v>
      </c>
    </row>
    <row r="277" spans="1:19">
      <c r="A277" t="s">
        <v>1021</v>
      </c>
      <c r="B277" t="s">
        <v>964</v>
      </c>
      <c r="C277">
        <v>4.0000000000000001E-3</v>
      </c>
      <c r="D277" t="s">
        <v>764</v>
      </c>
      <c r="E277" t="s">
        <v>968</v>
      </c>
      <c r="F277" t="s">
        <v>967</v>
      </c>
      <c r="G277" t="s">
        <v>960</v>
      </c>
      <c r="H277">
        <v>4.0000000000000001E-3</v>
      </c>
      <c r="J277">
        <v>108003839</v>
      </c>
      <c r="K277" s="2">
        <v>45630</v>
      </c>
      <c r="L277">
        <v>21</v>
      </c>
      <c r="M277">
        <v>1</v>
      </c>
      <c r="N277">
        <v>7</v>
      </c>
      <c r="O277">
        <v>1</v>
      </c>
      <c r="P277" t="s">
        <v>7</v>
      </c>
    </row>
    <row r="278" spans="1:19">
      <c r="A278" t="s">
        <v>1021</v>
      </c>
      <c r="B278" t="s">
        <v>968</v>
      </c>
      <c r="C278">
        <v>3.0000000000000001E-3</v>
      </c>
      <c r="D278" t="s">
        <v>757</v>
      </c>
      <c r="E278" t="s">
        <v>964</v>
      </c>
      <c r="F278" t="s">
        <v>985</v>
      </c>
      <c r="G278" t="s">
        <v>968</v>
      </c>
      <c r="H278">
        <v>8.1240000000000006</v>
      </c>
      <c r="J278">
        <v>108213433</v>
      </c>
      <c r="K278" s="2">
        <v>45894</v>
      </c>
      <c r="L278">
        <v>21</v>
      </c>
      <c r="M278">
        <v>1</v>
      </c>
      <c r="N278">
        <v>0</v>
      </c>
      <c r="O278">
        <v>1</v>
      </c>
      <c r="P278" t="s">
        <v>7</v>
      </c>
    </row>
    <row r="279" spans="1:19">
      <c r="A279" t="s">
        <v>1021</v>
      </c>
      <c r="B279" t="s">
        <v>965</v>
      </c>
      <c r="C279">
        <v>0</v>
      </c>
      <c r="E279" t="s">
        <v>1067</v>
      </c>
      <c r="G279" t="s">
        <v>965</v>
      </c>
      <c r="H279">
        <v>999.99900000000002</v>
      </c>
      <c r="J279">
        <v>108017956</v>
      </c>
      <c r="K279" s="2">
        <v>45700</v>
      </c>
      <c r="L279">
        <v>30</v>
      </c>
      <c r="M279">
        <v>2</v>
      </c>
      <c r="N279">
        <v>7</v>
      </c>
      <c r="O279">
        <v>2</v>
      </c>
      <c r="P279" t="s">
        <v>3</v>
      </c>
    </row>
    <row r="280" spans="1:19">
      <c r="A280" t="s">
        <v>1021</v>
      </c>
      <c r="B280" t="s">
        <v>968</v>
      </c>
      <c r="C280">
        <v>0</v>
      </c>
      <c r="E280" t="s">
        <v>962</v>
      </c>
      <c r="F280" t="s">
        <v>969</v>
      </c>
      <c r="G280" t="s">
        <v>968</v>
      </c>
      <c r="H280">
        <v>7.75</v>
      </c>
      <c r="J280">
        <v>108549390</v>
      </c>
      <c r="K280" s="2">
        <v>46202</v>
      </c>
      <c r="L280">
        <v>23</v>
      </c>
      <c r="M280">
        <v>1</v>
      </c>
      <c r="N280">
        <v>7</v>
      </c>
      <c r="O280">
        <v>1</v>
      </c>
      <c r="P280" t="s">
        <v>7</v>
      </c>
      <c r="Q280">
        <v>35.176679999999998</v>
      </c>
      <c r="R280">
        <v>-79.43083</v>
      </c>
      <c r="S280" t="s">
        <v>755</v>
      </c>
    </row>
    <row r="281" spans="1:19">
      <c r="A281" t="s">
        <v>1021</v>
      </c>
      <c r="B281" t="s">
        <v>965</v>
      </c>
      <c r="C281">
        <v>0</v>
      </c>
      <c r="E281" t="s">
        <v>1023</v>
      </c>
      <c r="F281" t="s">
        <v>1037</v>
      </c>
      <c r="G281" t="s">
        <v>961</v>
      </c>
      <c r="H281">
        <v>0.66500000000000004</v>
      </c>
      <c r="J281">
        <v>107275210</v>
      </c>
      <c r="K281" s="2">
        <v>45002</v>
      </c>
      <c r="L281">
        <v>0</v>
      </c>
      <c r="M281">
        <v>2</v>
      </c>
      <c r="N281">
        <v>7</v>
      </c>
      <c r="O281">
        <v>4</v>
      </c>
      <c r="P281" t="s">
        <v>3</v>
      </c>
    </row>
    <row r="282" spans="1:19">
      <c r="A282" t="s">
        <v>1021</v>
      </c>
      <c r="B282" t="s">
        <v>965</v>
      </c>
      <c r="C282">
        <v>0</v>
      </c>
      <c r="D282" t="s">
        <v>758</v>
      </c>
      <c r="E282" t="s">
        <v>967</v>
      </c>
      <c r="F282" t="s">
        <v>968</v>
      </c>
      <c r="G282" t="s">
        <v>961</v>
      </c>
      <c r="H282">
        <v>0.21099999999999999</v>
      </c>
      <c r="J282">
        <v>108048149</v>
      </c>
      <c r="K282" s="2">
        <v>45729</v>
      </c>
      <c r="L282">
        <v>23</v>
      </c>
      <c r="M282">
        <v>1</v>
      </c>
      <c r="N282">
        <v>8</v>
      </c>
      <c r="O282">
        <v>1</v>
      </c>
      <c r="P282" t="s">
        <v>7</v>
      </c>
    </row>
    <row r="283" spans="1:19">
      <c r="A283" t="s">
        <v>1021</v>
      </c>
      <c r="B283" t="s">
        <v>979</v>
      </c>
      <c r="C283">
        <v>1.9E-2</v>
      </c>
      <c r="D283" t="s">
        <v>764</v>
      </c>
      <c r="E283" t="s">
        <v>965</v>
      </c>
      <c r="F283" t="s">
        <v>1051</v>
      </c>
      <c r="G283" t="s">
        <v>979</v>
      </c>
      <c r="H283">
        <v>9.6820000000000004</v>
      </c>
      <c r="J283">
        <v>107681327</v>
      </c>
      <c r="K283" s="2">
        <v>45391</v>
      </c>
      <c r="L283">
        <v>28</v>
      </c>
      <c r="M283">
        <v>2</v>
      </c>
      <c r="N283">
        <v>0</v>
      </c>
      <c r="O283">
        <v>1</v>
      </c>
      <c r="P283" t="s">
        <v>7</v>
      </c>
    </row>
    <row r="284" spans="1:19">
      <c r="A284" t="s">
        <v>1021</v>
      </c>
      <c r="B284" t="s">
        <v>965</v>
      </c>
      <c r="C284">
        <v>0</v>
      </c>
      <c r="E284" t="s">
        <v>967</v>
      </c>
      <c r="F284" t="s">
        <v>963</v>
      </c>
      <c r="G284" t="s">
        <v>961</v>
      </c>
      <c r="H284">
        <v>0.21099999999999999</v>
      </c>
      <c r="J284">
        <v>105125296</v>
      </c>
      <c r="K284" s="2">
        <v>42878</v>
      </c>
      <c r="L284">
        <v>30</v>
      </c>
      <c r="M284">
        <v>2</v>
      </c>
      <c r="N284">
        <v>7</v>
      </c>
      <c r="O284">
        <v>1</v>
      </c>
      <c r="P284" t="s">
        <v>7</v>
      </c>
    </row>
    <row r="285" spans="1:19">
      <c r="A285" t="s">
        <v>1021</v>
      </c>
      <c r="B285" t="s">
        <v>965</v>
      </c>
      <c r="C285">
        <v>0</v>
      </c>
      <c r="E285" t="s">
        <v>968</v>
      </c>
      <c r="F285" t="s">
        <v>977</v>
      </c>
      <c r="G285" t="s">
        <v>962</v>
      </c>
      <c r="H285">
        <v>2.1920000000000002</v>
      </c>
      <c r="J285">
        <v>105125303</v>
      </c>
      <c r="K285" s="2">
        <v>42871</v>
      </c>
      <c r="L285">
        <v>21</v>
      </c>
      <c r="M285">
        <v>1</v>
      </c>
      <c r="N285">
        <v>7</v>
      </c>
      <c r="O285">
        <v>1</v>
      </c>
      <c r="P285" t="s">
        <v>7</v>
      </c>
    </row>
    <row r="286" spans="1:19">
      <c r="A286" t="s">
        <v>1021</v>
      </c>
      <c r="B286" t="s">
        <v>1044</v>
      </c>
      <c r="C286">
        <v>0</v>
      </c>
      <c r="E286" t="s">
        <v>965</v>
      </c>
      <c r="F286" t="s">
        <v>965</v>
      </c>
      <c r="H286">
        <v>999.99900000000002</v>
      </c>
      <c r="J286">
        <v>105026732</v>
      </c>
      <c r="K286" s="2">
        <v>42788</v>
      </c>
      <c r="L286">
        <v>30</v>
      </c>
      <c r="M286">
        <v>1</v>
      </c>
      <c r="N286">
        <v>25</v>
      </c>
      <c r="O286">
        <v>1</v>
      </c>
      <c r="P286" t="s">
        <v>3</v>
      </c>
    </row>
    <row r="287" spans="1:19">
      <c r="A287" t="s">
        <v>1021</v>
      </c>
      <c r="B287" t="s">
        <v>1054</v>
      </c>
      <c r="C287">
        <v>0</v>
      </c>
      <c r="E287" t="s">
        <v>965</v>
      </c>
      <c r="F287" t="s">
        <v>1032</v>
      </c>
      <c r="G287" t="s">
        <v>961</v>
      </c>
      <c r="H287">
        <v>1.7230000000000001</v>
      </c>
      <c r="J287">
        <v>105042553</v>
      </c>
      <c r="K287" s="2">
        <v>42796</v>
      </c>
      <c r="L287">
        <v>21</v>
      </c>
      <c r="M287">
        <v>1</v>
      </c>
      <c r="N287">
        <v>8</v>
      </c>
      <c r="O287">
        <v>1</v>
      </c>
      <c r="P287" t="s">
        <v>7</v>
      </c>
    </row>
    <row r="288" spans="1:19">
      <c r="A288" t="s">
        <v>1021</v>
      </c>
      <c r="B288" t="s">
        <v>965</v>
      </c>
      <c r="C288">
        <v>0</v>
      </c>
      <c r="D288" t="s">
        <v>758</v>
      </c>
      <c r="E288" t="s">
        <v>1032</v>
      </c>
      <c r="F288" t="s">
        <v>1054</v>
      </c>
      <c r="G288" t="s">
        <v>961</v>
      </c>
      <c r="H288">
        <v>1.843</v>
      </c>
      <c r="J288">
        <v>105042569</v>
      </c>
      <c r="K288" s="2">
        <v>42805</v>
      </c>
      <c r="L288">
        <v>30</v>
      </c>
      <c r="M288">
        <v>1</v>
      </c>
      <c r="N288">
        <v>7</v>
      </c>
      <c r="O288">
        <v>1</v>
      </c>
      <c r="P288" t="s">
        <v>7</v>
      </c>
    </row>
    <row r="289" spans="1:16">
      <c r="A289" t="s">
        <v>1021</v>
      </c>
      <c r="B289" t="s">
        <v>1048</v>
      </c>
      <c r="C289">
        <v>1E-3</v>
      </c>
      <c r="D289" t="s">
        <v>6</v>
      </c>
      <c r="E289" t="s">
        <v>964</v>
      </c>
      <c r="H289">
        <v>999.99900000000002</v>
      </c>
      <c r="J289">
        <v>105072049</v>
      </c>
      <c r="K289" s="2">
        <v>42836</v>
      </c>
      <c r="L289">
        <v>21</v>
      </c>
      <c r="M289">
        <v>1</v>
      </c>
      <c r="N289">
        <v>4</v>
      </c>
      <c r="O289">
        <v>1</v>
      </c>
      <c r="P289" t="s">
        <v>7</v>
      </c>
    </row>
    <row r="290" spans="1:16">
      <c r="A290" t="s">
        <v>1021</v>
      </c>
      <c r="B290" t="s">
        <v>965</v>
      </c>
      <c r="C290">
        <v>0</v>
      </c>
      <c r="E290" t="s">
        <v>1022</v>
      </c>
      <c r="G290" t="s">
        <v>961</v>
      </c>
      <c r="H290">
        <v>0.21099999999999999</v>
      </c>
      <c r="J290">
        <v>105125306</v>
      </c>
      <c r="K290" s="2">
        <v>42871</v>
      </c>
      <c r="L290">
        <v>30</v>
      </c>
      <c r="M290">
        <v>1</v>
      </c>
      <c r="N290">
        <v>0</v>
      </c>
      <c r="O290">
        <v>1</v>
      </c>
      <c r="P290" t="s">
        <v>3</v>
      </c>
    </row>
    <row r="291" spans="1:16">
      <c r="A291" t="s">
        <v>1021</v>
      </c>
      <c r="B291" t="s">
        <v>1068</v>
      </c>
      <c r="C291">
        <v>1.9E-2</v>
      </c>
      <c r="D291" t="s">
        <v>757</v>
      </c>
      <c r="E291" t="s">
        <v>965</v>
      </c>
      <c r="F291" t="s">
        <v>1032</v>
      </c>
      <c r="H291">
        <v>999.99900000000002</v>
      </c>
      <c r="J291">
        <v>105107749</v>
      </c>
      <c r="K291" s="2">
        <v>42870</v>
      </c>
      <c r="L291">
        <v>30</v>
      </c>
      <c r="M291">
        <v>1</v>
      </c>
      <c r="N291">
        <v>0</v>
      </c>
      <c r="O291">
        <v>1</v>
      </c>
      <c r="P291" t="s">
        <v>7</v>
      </c>
    </row>
    <row r="292" spans="1:16">
      <c r="A292" t="s">
        <v>1021</v>
      </c>
      <c r="B292" t="s">
        <v>1069</v>
      </c>
      <c r="C292">
        <v>1.6E-2</v>
      </c>
      <c r="D292" t="s">
        <v>757</v>
      </c>
      <c r="E292" t="s">
        <v>965</v>
      </c>
      <c r="F292" t="s">
        <v>970</v>
      </c>
      <c r="H292">
        <v>999.99900000000002</v>
      </c>
      <c r="J292">
        <v>105107750</v>
      </c>
      <c r="K292" s="2">
        <v>42870</v>
      </c>
      <c r="L292">
        <v>30</v>
      </c>
      <c r="M292">
        <v>1</v>
      </c>
      <c r="N292">
        <v>4</v>
      </c>
      <c r="O292">
        <v>1</v>
      </c>
      <c r="P292" t="s">
        <v>7</v>
      </c>
    </row>
    <row r="293" spans="1:16">
      <c r="A293" t="s">
        <v>1021</v>
      </c>
      <c r="B293" t="s">
        <v>965</v>
      </c>
      <c r="C293">
        <v>8.9999999999999993E-3</v>
      </c>
      <c r="D293" t="s">
        <v>758</v>
      </c>
      <c r="E293" t="s">
        <v>1054</v>
      </c>
      <c r="F293" t="s">
        <v>979</v>
      </c>
      <c r="G293" t="s">
        <v>961</v>
      </c>
      <c r="H293">
        <v>1.714</v>
      </c>
      <c r="J293">
        <v>105107758</v>
      </c>
      <c r="K293" s="2">
        <v>42863</v>
      </c>
      <c r="L293">
        <v>21</v>
      </c>
      <c r="M293">
        <v>10</v>
      </c>
      <c r="N293">
        <v>0</v>
      </c>
      <c r="O293">
        <v>1</v>
      </c>
      <c r="P293" t="s">
        <v>7</v>
      </c>
    </row>
    <row r="294" spans="1:16">
      <c r="A294" t="s">
        <v>1021</v>
      </c>
      <c r="B294" t="s">
        <v>964</v>
      </c>
      <c r="C294">
        <v>0</v>
      </c>
      <c r="D294" t="s">
        <v>765</v>
      </c>
      <c r="E294" t="s">
        <v>968</v>
      </c>
      <c r="F294" t="s">
        <v>966</v>
      </c>
      <c r="G294" t="s">
        <v>960</v>
      </c>
      <c r="H294">
        <v>0</v>
      </c>
      <c r="J294">
        <v>105093382</v>
      </c>
      <c r="K294" s="2">
        <v>42857</v>
      </c>
      <c r="L294">
        <v>30</v>
      </c>
      <c r="M294">
        <v>1</v>
      </c>
      <c r="N294">
        <v>0</v>
      </c>
      <c r="O294">
        <v>1</v>
      </c>
      <c r="P294" t="s">
        <v>7</v>
      </c>
    </row>
    <row r="295" spans="1:16">
      <c r="A295" t="s">
        <v>1021</v>
      </c>
      <c r="B295" t="s">
        <v>964</v>
      </c>
      <c r="C295">
        <v>0</v>
      </c>
      <c r="E295" t="s">
        <v>1070</v>
      </c>
      <c r="F295" t="s">
        <v>968</v>
      </c>
      <c r="G295" t="s">
        <v>964</v>
      </c>
      <c r="H295">
        <v>999.99900000000002</v>
      </c>
      <c r="J295">
        <v>105214622</v>
      </c>
      <c r="K295" s="2">
        <v>42975</v>
      </c>
      <c r="L295">
        <v>30</v>
      </c>
      <c r="M295">
        <v>1</v>
      </c>
      <c r="N295">
        <v>0</v>
      </c>
      <c r="O295">
        <v>1</v>
      </c>
      <c r="P295" t="s">
        <v>7</v>
      </c>
    </row>
    <row r="296" spans="1:16">
      <c r="A296" t="s">
        <v>1021</v>
      </c>
      <c r="B296" t="s">
        <v>1032</v>
      </c>
      <c r="C296">
        <v>0</v>
      </c>
      <c r="E296" t="s">
        <v>965</v>
      </c>
      <c r="F296" t="s">
        <v>1071</v>
      </c>
      <c r="G296" t="s">
        <v>1032</v>
      </c>
      <c r="H296">
        <v>0.12</v>
      </c>
      <c r="J296">
        <v>105233238</v>
      </c>
      <c r="K296" s="2">
        <v>42978</v>
      </c>
      <c r="L296">
        <v>30</v>
      </c>
      <c r="M296">
        <v>1</v>
      </c>
      <c r="N296">
        <v>7</v>
      </c>
      <c r="O296">
        <v>1</v>
      </c>
      <c r="P296" t="s">
        <v>7</v>
      </c>
    </row>
    <row r="297" spans="1:16">
      <c r="A297" t="s">
        <v>1021</v>
      </c>
      <c r="B297" t="s">
        <v>965</v>
      </c>
      <c r="C297">
        <v>8.5999999999999993E-2</v>
      </c>
      <c r="D297" t="s">
        <v>756</v>
      </c>
      <c r="E297" t="s">
        <v>1052</v>
      </c>
      <c r="F297" t="s">
        <v>979</v>
      </c>
      <c r="G297" t="s">
        <v>961</v>
      </c>
      <c r="H297">
        <v>1.5169999999999999</v>
      </c>
      <c r="J297">
        <v>105196721</v>
      </c>
      <c r="K297" s="2">
        <v>42952</v>
      </c>
      <c r="L297">
        <v>31</v>
      </c>
      <c r="M297">
        <v>1</v>
      </c>
      <c r="N297">
        <v>8</v>
      </c>
      <c r="O297">
        <v>1</v>
      </c>
      <c r="P297" t="s">
        <v>7</v>
      </c>
    </row>
    <row r="298" spans="1:16">
      <c r="A298" t="s">
        <v>1021</v>
      </c>
      <c r="B298" t="s">
        <v>1048</v>
      </c>
      <c r="C298">
        <v>1.2999999999999999E-2</v>
      </c>
      <c r="D298" t="s">
        <v>6</v>
      </c>
      <c r="E298" t="s">
        <v>964</v>
      </c>
      <c r="F298" t="s">
        <v>968</v>
      </c>
      <c r="H298">
        <v>999.99900000000002</v>
      </c>
      <c r="J298">
        <v>105121777</v>
      </c>
      <c r="K298" s="2">
        <v>42885</v>
      </c>
      <c r="L298">
        <v>32</v>
      </c>
      <c r="M298">
        <v>1</v>
      </c>
      <c r="N298">
        <v>4</v>
      </c>
      <c r="O298">
        <v>1</v>
      </c>
      <c r="P298" t="s">
        <v>7</v>
      </c>
    </row>
    <row r="299" spans="1:16">
      <c r="A299" t="s">
        <v>1021</v>
      </c>
      <c r="B299" t="s">
        <v>968</v>
      </c>
      <c r="C299">
        <v>0</v>
      </c>
      <c r="D299" t="s">
        <v>757</v>
      </c>
      <c r="E299" t="s">
        <v>964</v>
      </c>
      <c r="F299" t="s">
        <v>1072</v>
      </c>
      <c r="G299" t="s">
        <v>968</v>
      </c>
      <c r="H299">
        <v>8.1210000000000004</v>
      </c>
      <c r="J299">
        <v>105186074</v>
      </c>
      <c r="K299" s="2">
        <v>42944</v>
      </c>
      <c r="L299">
        <v>21</v>
      </c>
      <c r="M299">
        <v>1</v>
      </c>
      <c r="N299">
        <v>0</v>
      </c>
      <c r="O299">
        <v>1</v>
      </c>
      <c r="P299" t="s">
        <v>7</v>
      </c>
    </row>
    <row r="300" spans="1:16">
      <c r="A300" t="s">
        <v>1021</v>
      </c>
      <c r="B300" t="s">
        <v>1048</v>
      </c>
      <c r="C300">
        <v>6.0000000000000001E-3</v>
      </c>
      <c r="D300" t="s">
        <v>762</v>
      </c>
      <c r="E300" t="s">
        <v>964</v>
      </c>
      <c r="F300" t="s">
        <v>968</v>
      </c>
      <c r="H300">
        <v>999.99900000000002</v>
      </c>
      <c r="J300">
        <v>105197257</v>
      </c>
      <c r="K300" s="2">
        <v>42954</v>
      </c>
      <c r="L300">
        <v>19</v>
      </c>
      <c r="M300">
        <v>1</v>
      </c>
      <c r="N300">
        <v>0</v>
      </c>
      <c r="O300">
        <v>1</v>
      </c>
      <c r="P300" t="s">
        <v>3</v>
      </c>
    </row>
    <row r="301" spans="1:16">
      <c r="A301" t="s">
        <v>1021</v>
      </c>
      <c r="B301" t="s">
        <v>965</v>
      </c>
      <c r="C301">
        <v>0</v>
      </c>
      <c r="E301" t="s">
        <v>1073</v>
      </c>
      <c r="F301" t="s">
        <v>1052</v>
      </c>
      <c r="G301" t="s">
        <v>965</v>
      </c>
      <c r="H301">
        <v>999.99900000000002</v>
      </c>
      <c r="J301">
        <v>105240102</v>
      </c>
      <c r="K301" s="2">
        <v>43001</v>
      </c>
      <c r="L301">
        <v>30</v>
      </c>
      <c r="M301">
        <v>1</v>
      </c>
      <c r="N301">
        <v>7</v>
      </c>
      <c r="O301">
        <v>1</v>
      </c>
      <c r="P301" t="s">
        <v>7</v>
      </c>
    </row>
    <row r="302" spans="1:16">
      <c r="A302" t="s">
        <v>1021</v>
      </c>
      <c r="B302" t="s">
        <v>965</v>
      </c>
      <c r="C302">
        <v>0</v>
      </c>
      <c r="E302" t="s">
        <v>1074</v>
      </c>
      <c r="F302" t="s">
        <v>1026</v>
      </c>
      <c r="H302">
        <v>999.99900000000002</v>
      </c>
      <c r="J302">
        <v>105028147</v>
      </c>
      <c r="K302" s="2">
        <v>42776</v>
      </c>
      <c r="L302">
        <v>21</v>
      </c>
      <c r="M302">
        <v>1</v>
      </c>
      <c r="N302">
        <v>7</v>
      </c>
      <c r="O302">
        <v>2</v>
      </c>
      <c r="P302" t="s">
        <v>7</v>
      </c>
    </row>
    <row r="303" spans="1:16">
      <c r="A303" t="s">
        <v>1021</v>
      </c>
      <c r="B303" t="s">
        <v>965</v>
      </c>
      <c r="C303">
        <v>1.9E-2</v>
      </c>
      <c r="D303" t="s">
        <v>758</v>
      </c>
      <c r="E303" t="s">
        <v>979</v>
      </c>
      <c r="F303" t="s">
        <v>1052</v>
      </c>
      <c r="G303" t="s">
        <v>961</v>
      </c>
      <c r="H303">
        <v>1.577</v>
      </c>
      <c r="J303">
        <v>105028159</v>
      </c>
      <c r="K303" s="2">
        <v>42766</v>
      </c>
      <c r="L303">
        <v>28</v>
      </c>
      <c r="M303">
        <v>1</v>
      </c>
      <c r="O303">
        <v>5</v>
      </c>
      <c r="P303" t="s">
        <v>7</v>
      </c>
    </row>
    <row r="304" spans="1:16">
      <c r="A304" t="s">
        <v>1021</v>
      </c>
      <c r="B304" t="s">
        <v>968</v>
      </c>
      <c r="C304">
        <v>0</v>
      </c>
      <c r="E304" t="s">
        <v>965</v>
      </c>
      <c r="F304" t="s">
        <v>1072</v>
      </c>
      <c r="G304" t="s">
        <v>968</v>
      </c>
      <c r="H304">
        <v>7.75</v>
      </c>
      <c r="J304">
        <v>105026731</v>
      </c>
      <c r="K304" s="2">
        <v>42790</v>
      </c>
      <c r="L304">
        <v>21</v>
      </c>
      <c r="M304">
        <v>1</v>
      </c>
      <c r="N304">
        <v>7</v>
      </c>
      <c r="O304">
        <v>1</v>
      </c>
      <c r="P304" t="s">
        <v>3</v>
      </c>
    </row>
    <row r="305" spans="1:16">
      <c r="A305" t="s">
        <v>1021</v>
      </c>
      <c r="B305" t="s">
        <v>968</v>
      </c>
      <c r="C305">
        <v>0</v>
      </c>
      <c r="E305" t="s">
        <v>965</v>
      </c>
      <c r="F305" t="s">
        <v>967</v>
      </c>
      <c r="G305" t="s">
        <v>968</v>
      </c>
      <c r="H305">
        <v>7.75</v>
      </c>
      <c r="J305">
        <v>105075625</v>
      </c>
      <c r="K305" s="2">
        <v>42825</v>
      </c>
      <c r="L305">
        <v>30</v>
      </c>
      <c r="M305">
        <v>1</v>
      </c>
      <c r="N305">
        <v>7</v>
      </c>
      <c r="O305">
        <v>4</v>
      </c>
      <c r="P305" t="s">
        <v>3</v>
      </c>
    </row>
    <row r="306" spans="1:16">
      <c r="A306" t="s">
        <v>1021</v>
      </c>
      <c r="B306" t="s">
        <v>965</v>
      </c>
      <c r="C306">
        <v>0.109</v>
      </c>
      <c r="D306" t="s">
        <v>758</v>
      </c>
      <c r="E306" t="s">
        <v>967</v>
      </c>
      <c r="F306" t="s">
        <v>968</v>
      </c>
      <c r="G306" t="s">
        <v>961</v>
      </c>
      <c r="H306">
        <v>0.10199999999999999</v>
      </c>
      <c r="J306">
        <v>105075633</v>
      </c>
      <c r="K306" s="2">
        <v>42830</v>
      </c>
      <c r="L306">
        <v>30</v>
      </c>
      <c r="M306">
        <v>1</v>
      </c>
      <c r="N306">
        <v>4</v>
      </c>
      <c r="O306">
        <v>1</v>
      </c>
      <c r="P306" t="s">
        <v>3</v>
      </c>
    </row>
    <row r="307" spans="1:16">
      <c r="A307" t="s">
        <v>1021</v>
      </c>
      <c r="B307" t="s">
        <v>1048</v>
      </c>
      <c r="C307">
        <v>1.9E-2</v>
      </c>
      <c r="D307" t="s">
        <v>756</v>
      </c>
      <c r="E307" t="s">
        <v>964</v>
      </c>
      <c r="F307" t="s">
        <v>968</v>
      </c>
      <c r="H307">
        <v>999.99900000000002</v>
      </c>
      <c r="J307">
        <v>105056687</v>
      </c>
      <c r="K307" s="2">
        <v>42818</v>
      </c>
      <c r="L307">
        <v>31</v>
      </c>
      <c r="M307">
        <v>1</v>
      </c>
      <c r="N307">
        <v>4</v>
      </c>
      <c r="O307">
        <v>1</v>
      </c>
      <c r="P307" t="s">
        <v>7</v>
      </c>
    </row>
    <row r="308" spans="1:16">
      <c r="A308" t="s">
        <v>1021</v>
      </c>
      <c r="B308" t="s">
        <v>968</v>
      </c>
      <c r="C308">
        <v>2.5999999999999999E-2</v>
      </c>
      <c r="D308" t="s">
        <v>765</v>
      </c>
      <c r="E308" t="s">
        <v>964</v>
      </c>
      <c r="F308" t="s">
        <v>1072</v>
      </c>
      <c r="G308" t="s">
        <v>968</v>
      </c>
      <c r="H308">
        <v>8.1470000000000002</v>
      </c>
      <c r="J308">
        <v>105091230</v>
      </c>
      <c r="K308" s="2">
        <v>42849</v>
      </c>
      <c r="L308">
        <v>21</v>
      </c>
      <c r="M308">
        <v>2</v>
      </c>
      <c r="N308">
        <v>7</v>
      </c>
      <c r="O308">
        <v>1</v>
      </c>
      <c r="P308" t="s">
        <v>3</v>
      </c>
    </row>
    <row r="309" spans="1:16">
      <c r="A309" t="s">
        <v>1021</v>
      </c>
      <c r="B309" t="s">
        <v>968</v>
      </c>
      <c r="C309">
        <v>1.4999999999999999E-2</v>
      </c>
      <c r="D309" t="s">
        <v>6</v>
      </c>
      <c r="E309" t="s">
        <v>965</v>
      </c>
      <c r="F309" t="s">
        <v>963</v>
      </c>
      <c r="G309" t="s">
        <v>968</v>
      </c>
      <c r="H309">
        <v>7.7350000000000003</v>
      </c>
      <c r="J309">
        <v>105196704</v>
      </c>
      <c r="K309" s="2">
        <v>42951</v>
      </c>
      <c r="L309">
        <v>21</v>
      </c>
      <c r="M309">
        <v>1</v>
      </c>
      <c r="N309">
        <v>7</v>
      </c>
      <c r="O309">
        <v>1</v>
      </c>
      <c r="P309" t="s">
        <v>3</v>
      </c>
    </row>
    <row r="310" spans="1:16">
      <c r="A310" t="s">
        <v>1021</v>
      </c>
      <c r="B310" t="s">
        <v>968</v>
      </c>
      <c r="C310">
        <v>0</v>
      </c>
      <c r="E310" t="s">
        <v>964</v>
      </c>
      <c r="F310" t="s">
        <v>1072</v>
      </c>
      <c r="G310" t="s">
        <v>968</v>
      </c>
      <c r="H310">
        <v>8.1210000000000004</v>
      </c>
      <c r="J310">
        <v>105028152</v>
      </c>
      <c r="K310" s="2">
        <v>42769</v>
      </c>
      <c r="L310">
        <v>21</v>
      </c>
      <c r="M310">
        <v>1</v>
      </c>
      <c r="N310">
        <v>7</v>
      </c>
      <c r="O310">
        <v>1</v>
      </c>
      <c r="P310" t="s">
        <v>7</v>
      </c>
    </row>
    <row r="311" spans="1:16">
      <c r="A311" t="s">
        <v>1021</v>
      </c>
      <c r="B311" t="s">
        <v>1075</v>
      </c>
      <c r="C311">
        <v>0</v>
      </c>
      <c r="E311" t="s">
        <v>965</v>
      </c>
      <c r="F311" t="s">
        <v>963</v>
      </c>
      <c r="G311" t="s">
        <v>965</v>
      </c>
      <c r="H311">
        <v>999.99900000000002</v>
      </c>
      <c r="J311">
        <v>105240097</v>
      </c>
      <c r="K311" s="2">
        <v>43004</v>
      </c>
      <c r="L311">
        <v>21</v>
      </c>
      <c r="M311">
        <v>1</v>
      </c>
      <c r="N311">
        <v>7</v>
      </c>
      <c r="O311">
        <v>1</v>
      </c>
      <c r="P311" t="s">
        <v>7</v>
      </c>
    </row>
    <row r="312" spans="1:16">
      <c r="A312" t="s">
        <v>1021</v>
      </c>
      <c r="B312" t="s">
        <v>965</v>
      </c>
      <c r="C312">
        <v>0.1</v>
      </c>
      <c r="D312" t="s">
        <v>758</v>
      </c>
      <c r="E312" t="s">
        <v>1056</v>
      </c>
      <c r="F312" t="s">
        <v>1023</v>
      </c>
      <c r="G312" t="s">
        <v>961</v>
      </c>
      <c r="H312">
        <v>1.177</v>
      </c>
      <c r="J312">
        <v>105233220</v>
      </c>
      <c r="K312" s="2">
        <v>42984</v>
      </c>
      <c r="L312">
        <v>25</v>
      </c>
      <c r="M312">
        <v>1</v>
      </c>
      <c r="N312">
        <v>0</v>
      </c>
      <c r="O312">
        <v>1</v>
      </c>
      <c r="P312" t="s">
        <v>7</v>
      </c>
    </row>
    <row r="313" spans="1:16">
      <c r="A313" t="s">
        <v>1021</v>
      </c>
      <c r="B313" t="s">
        <v>965</v>
      </c>
      <c r="C313">
        <v>0</v>
      </c>
      <c r="E313" t="s">
        <v>1023</v>
      </c>
      <c r="F313" t="s">
        <v>1067</v>
      </c>
      <c r="G313" t="s">
        <v>961</v>
      </c>
      <c r="H313">
        <v>0.66500000000000004</v>
      </c>
      <c r="J313">
        <v>105233221</v>
      </c>
      <c r="K313" s="2">
        <v>42983</v>
      </c>
      <c r="L313">
        <v>30</v>
      </c>
      <c r="M313">
        <v>1</v>
      </c>
      <c r="N313">
        <v>7</v>
      </c>
      <c r="O313">
        <v>1</v>
      </c>
      <c r="P313" t="s">
        <v>8</v>
      </c>
    </row>
    <row r="314" spans="1:16">
      <c r="A314" t="s">
        <v>1021</v>
      </c>
      <c r="B314" t="s">
        <v>965</v>
      </c>
      <c r="C314">
        <v>5.2999999999999999E-2</v>
      </c>
      <c r="D314" t="s">
        <v>756</v>
      </c>
      <c r="E314" t="s">
        <v>1054</v>
      </c>
      <c r="F314" t="s">
        <v>1032</v>
      </c>
      <c r="G314" t="s">
        <v>961</v>
      </c>
      <c r="H314">
        <v>1.776</v>
      </c>
      <c r="J314">
        <v>105233224</v>
      </c>
      <c r="K314" s="2">
        <v>42984</v>
      </c>
      <c r="L314">
        <v>23</v>
      </c>
      <c r="M314">
        <v>1</v>
      </c>
      <c r="N314">
        <v>0</v>
      </c>
      <c r="O314">
        <v>1</v>
      </c>
      <c r="P314" t="s">
        <v>3</v>
      </c>
    </row>
    <row r="315" spans="1:16">
      <c r="A315" t="s">
        <v>1021</v>
      </c>
      <c r="B315" t="s">
        <v>965</v>
      </c>
      <c r="C315">
        <v>4.0000000000000001E-3</v>
      </c>
      <c r="D315" t="s">
        <v>758</v>
      </c>
      <c r="E315" t="s">
        <v>968</v>
      </c>
      <c r="F315" t="s">
        <v>967</v>
      </c>
      <c r="G315" t="s">
        <v>962</v>
      </c>
      <c r="H315">
        <v>2.1880000000000002</v>
      </c>
      <c r="J315">
        <v>105240096</v>
      </c>
      <c r="K315" s="2">
        <v>42995</v>
      </c>
      <c r="L315">
        <v>22</v>
      </c>
      <c r="M315">
        <v>1</v>
      </c>
      <c r="N315">
        <v>0</v>
      </c>
      <c r="O315">
        <v>1</v>
      </c>
      <c r="P315" t="s">
        <v>7</v>
      </c>
    </row>
    <row r="316" spans="1:16">
      <c r="A316" t="s">
        <v>1021</v>
      </c>
      <c r="B316" t="s">
        <v>965</v>
      </c>
      <c r="C316">
        <v>3.1E-2</v>
      </c>
      <c r="D316" t="s">
        <v>756</v>
      </c>
      <c r="E316" t="s">
        <v>1056</v>
      </c>
      <c r="F316" t="s">
        <v>1064</v>
      </c>
      <c r="G316" t="s">
        <v>961</v>
      </c>
      <c r="H316">
        <v>1.3080000000000001</v>
      </c>
      <c r="J316">
        <v>105168896</v>
      </c>
      <c r="K316" s="2">
        <v>42930</v>
      </c>
      <c r="L316">
        <v>21</v>
      </c>
      <c r="M316">
        <v>1</v>
      </c>
      <c r="N316">
        <v>0</v>
      </c>
      <c r="O316">
        <v>1</v>
      </c>
      <c r="P316" t="s">
        <v>3</v>
      </c>
    </row>
    <row r="317" spans="1:16">
      <c r="A317" t="s">
        <v>1021</v>
      </c>
      <c r="B317" t="s">
        <v>968</v>
      </c>
      <c r="C317">
        <v>0</v>
      </c>
      <c r="E317" t="s">
        <v>965</v>
      </c>
      <c r="F317" t="s">
        <v>1076</v>
      </c>
      <c r="G317" t="s">
        <v>968</v>
      </c>
      <c r="H317">
        <v>7.75</v>
      </c>
      <c r="J317">
        <v>105186092</v>
      </c>
      <c r="K317" s="2">
        <v>42936</v>
      </c>
      <c r="L317">
        <v>21</v>
      </c>
      <c r="M317">
        <v>2</v>
      </c>
      <c r="N317">
        <v>7</v>
      </c>
      <c r="O317">
        <v>5</v>
      </c>
      <c r="P317" t="s">
        <v>7</v>
      </c>
    </row>
    <row r="318" spans="1:16">
      <c r="A318" t="s">
        <v>1021</v>
      </c>
      <c r="B318" t="s">
        <v>1035</v>
      </c>
      <c r="C318">
        <v>1.4E-2</v>
      </c>
      <c r="D318" t="s">
        <v>6</v>
      </c>
      <c r="E318" t="s">
        <v>965</v>
      </c>
      <c r="F318" t="s">
        <v>1033</v>
      </c>
      <c r="G318" t="s">
        <v>1036</v>
      </c>
      <c r="H318">
        <v>0.48</v>
      </c>
      <c r="J318">
        <v>107808872</v>
      </c>
      <c r="K318" s="2">
        <v>45509</v>
      </c>
      <c r="L318">
        <v>24</v>
      </c>
      <c r="M318">
        <v>1</v>
      </c>
      <c r="N318">
        <v>0</v>
      </c>
      <c r="O318">
        <v>1</v>
      </c>
      <c r="P318" t="s">
        <v>7</v>
      </c>
    </row>
    <row r="319" spans="1:16">
      <c r="A319" t="s">
        <v>1021</v>
      </c>
      <c r="B319" t="s">
        <v>968</v>
      </c>
      <c r="C319">
        <v>0</v>
      </c>
      <c r="E319" t="s">
        <v>965</v>
      </c>
      <c r="F319" t="s">
        <v>1072</v>
      </c>
      <c r="G319" t="s">
        <v>968</v>
      </c>
      <c r="H319">
        <v>7.75</v>
      </c>
      <c r="J319">
        <v>105257889</v>
      </c>
      <c r="K319" s="2">
        <v>43010</v>
      </c>
      <c r="L319">
        <v>21</v>
      </c>
      <c r="M319">
        <v>1</v>
      </c>
      <c r="N319">
        <v>7</v>
      </c>
      <c r="O319">
        <v>1</v>
      </c>
      <c r="P319" t="s">
        <v>7</v>
      </c>
    </row>
    <row r="320" spans="1:16">
      <c r="A320" t="s">
        <v>1021</v>
      </c>
      <c r="B320" t="s">
        <v>965</v>
      </c>
      <c r="C320">
        <v>0</v>
      </c>
      <c r="E320" t="s">
        <v>1032</v>
      </c>
      <c r="F320" t="s">
        <v>1033</v>
      </c>
      <c r="G320" t="s">
        <v>961</v>
      </c>
      <c r="H320">
        <v>1.843</v>
      </c>
      <c r="J320">
        <v>105257896</v>
      </c>
      <c r="K320" s="2">
        <v>43011</v>
      </c>
      <c r="L320">
        <v>30</v>
      </c>
      <c r="M320">
        <v>1</v>
      </c>
      <c r="N320">
        <v>7</v>
      </c>
      <c r="O320">
        <v>1</v>
      </c>
      <c r="P320" t="s">
        <v>3</v>
      </c>
    </row>
    <row r="321" spans="1:19">
      <c r="A321" t="s">
        <v>1021</v>
      </c>
      <c r="B321" t="s">
        <v>967</v>
      </c>
      <c r="C321">
        <v>0</v>
      </c>
      <c r="E321" t="s">
        <v>1029</v>
      </c>
      <c r="F321" t="s">
        <v>1019</v>
      </c>
      <c r="G321" t="s">
        <v>960</v>
      </c>
      <c r="H321">
        <v>0.91100000000000003</v>
      </c>
      <c r="J321">
        <v>105257907</v>
      </c>
      <c r="K321" s="2">
        <v>43018</v>
      </c>
      <c r="L321">
        <v>21</v>
      </c>
      <c r="M321">
        <v>2</v>
      </c>
      <c r="N321">
        <v>8</v>
      </c>
      <c r="O321">
        <v>1</v>
      </c>
      <c r="P321" t="s">
        <v>7</v>
      </c>
    </row>
    <row r="322" spans="1:19">
      <c r="A322" t="s">
        <v>1021</v>
      </c>
      <c r="B322" t="s">
        <v>965</v>
      </c>
      <c r="C322">
        <v>1.0999999999999999E-2</v>
      </c>
      <c r="D322" t="s">
        <v>758</v>
      </c>
      <c r="E322" t="s">
        <v>1052</v>
      </c>
      <c r="F322" t="s">
        <v>1064</v>
      </c>
      <c r="G322" t="s">
        <v>961</v>
      </c>
      <c r="H322">
        <v>1.42</v>
      </c>
      <c r="J322">
        <v>105257908</v>
      </c>
      <c r="K322" s="2">
        <v>43020</v>
      </c>
      <c r="L322">
        <v>14</v>
      </c>
      <c r="M322">
        <v>1</v>
      </c>
      <c r="N322">
        <v>0</v>
      </c>
      <c r="O322">
        <v>1</v>
      </c>
      <c r="P322" t="s">
        <v>3</v>
      </c>
      <c r="Q322">
        <v>35.171573000000002</v>
      </c>
      <c r="R322">
        <v>-79.409191000000007</v>
      </c>
      <c r="S322" t="s">
        <v>1077</v>
      </c>
    </row>
    <row r="323" spans="1:19">
      <c r="A323" t="s">
        <v>1021</v>
      </c>
      <c r="B323" t="s">
        <v>1078</v>
      </c>
      <c r="C323">
        <v>1.9E-2</v>
      </c>
      <c r="D323" t="s">
        <v>756</v>
      </c>
      <c r="E323" t="s">
        <v>967</v>
      </c>
      <c r="F323" t="s">
        <v>1018</v>
      </c>
      <c r="H323">
        <v>999.99900000000002</v>
      </c>
      <c r="J323">
        <v>105277904</v>
      </c>
      <c r="K323" s="2">
        <v>43033</v>
      </c>
      <c r="L323">
        <v>21</v>
      </c>
      <c r="M323">
        <v>1</v>
      </c>
      <c r="N323">
        <v>0</v>
      </c>
      <c r="O323">
        <v>4</v>
      </c>
      <c r="P323" t="s">
        <v>7</v>
      </c>
    </row>
    <row r="324" spans="1:19">
      <c r="A324" t="s">
        <v>1021</v>
      </c>
      <c r="B324" t="s">
        <v>965</v>
      </c>
      <c r="C324">
        <v>5.0000000000000001E-3</v>
      </c>
      <c r="D324" t="s">
        <v>756</v>
      </c>
      <c r="E324" t="s">
        <v>1052</v>
      </c>
      <c r="F324" t="s">
        <v>979</v>
      </c>
      <c r="G324" t="s">
        <v>961</v>
      </c>
      <c r="H324">
        <v>1.4359999999999999</v>
      </c>
      <c r="J324">
        <v>105322856</v>
      </c>
      <c r="K324" s="2">
        <v>43059</v>
      </c>
      <c r="L324">
        <v>21</v>
      </c>
      <c r="M324">
        <v>1</v>
      </c>
      <c r="N324">
        <v>0</v>
      </c>
      <c r="O324">
        <v>1</v>
      </c>
      <c r="P324" t="s">
        <v>3</v>
      </c>
    </row>
    <row r="325" spans="1:19">
      <c r="A325" t="s">
        <v>1021</v>
      </c>
      <c r="B325" t="s">
        <v>965</v>
      </c>
      <c r="C325">
        <v>0</v>
      </c>
      <c r="E325" t="s">
        <v>1032</v>
      </c>
      <c r="F325" t="s">
        <v>1079</v>
      </c>
      <c r="G325" t="s">
        <v>961</v>
      </c>
      <c r="H325">
        <v>1.843</v>
      </c>
      <c r="J325">
        <v>105277891</v>
      </c>
      <c r="K325" s="2">
        <v>43008</v>
      </c>
      <c r="L325">
        <v>30</v>
      </c>
      <c r="M325">
        <v>1</v>
      </c>
      <c r="N325">
        <v>7</v>
      </c>
      <c r="O325">
        <v>1</v>
      </c>
      <c r="P325" t="s">
        <v>7</v>
      </c>
    </row>
    <row r="326" spans="1:19">
      <c r="A326" t="s">
        <v>1021</v>
      </c>
      <c r="B326" t="s">
        <v>965</v>
      </c>
      <c r="C326">
        <v>0</v>
      </c>
      <c r="E326" t="s">
        <v>979</v>
      </c>
      <c r="F326" t="s">
        <v>1032</v>
      </c>
      <c r="G326" t="s">
        <v>961</v>
      </c>
      <c r="H326">
        <v>1.5960000000000001</v>
      </c>
      <c r="J326">
        <v>105277902</v>
      </c>
      <c r="K326" s="2">
        <v>43032</v>
      </c>
      <c r="L326">
        <v>21</v>
      </c>
      <c r="M326">
        <v>1</v>
      </c>
      <c r="N326">
        <v>8</v>
      </c>
      <c r="O326">
        <v>1</v>
      </c>
      <c r="P326" t="s">
        <v>7</v>
      </c>
    </row>
    <row r="327" spans="1:19">
      <c r="A327" t="s">
        <v>1021</v>
      </c>
      <c r="B327" t="s">
        <v>965</v>
      </c>
      <c r="C327">
        <v>0</v>
      </c>
      <c r="E327" t="s">
        <v>979</v>
      </c>
      <c r="F327" t="s">
        <v>1052</v>
      </c>
      <c r="G327" t="s">
        <v>961</v>
      </c>
      <c r="H327">
        <v>1.5960000000000001</v>
      </c>
      <c r="J327">
        <v>105329621</v>
      </c>
      <c r="K327" s="2">
        <v>43077</v>
      </c>
      <c r="L327">
        <v>23</v>
      </c>
      <c r="M327">
        <v>2</v>
      </c>
      <c r="N327">
        <v>19</v>
      </c>
      <c r="O327">
        <v>3</v>
      </c>
      <c r="P327" t="s">
        <v>7</v>
      </c>
    </row>
    <row r="328" spans="1:19">
      <c r="A328" t="s">
        <v>754</v>
      </c>
      <c r="B328" t="s">
        <v>962</v>
      </c>
      <c r="C328">
        <v>0</v>
      </c>
      <c r="E328" t="s">
        <v>977</v>
      </c>
      <c r="G328" t="s">
        <v>962</v>
      </c>
      <c r="H328">
        <v>1.988</v>
      </c>
      <c r="J328">
        <v>105292761</v>
      </c>
      <c r="K328" s="2">
        <v>43053</v>
      </c>
      <c r="L328">
        <v>24</v>
      </c>
      <c r="M328">
        <v>1</v>
      </c>
      <c r="N328">
        <v>8</v>
      </c>
      <c r="O328">
        <v>1</v>
      </c>
      <c r="P328" t="s">
        <v>7</v>
      </c>
    </row>
    <row r="329" spans="1:19">
      <c r="A329" t="s">
        <v>754</v>
      </c>
      <c r="B329" t="s">
        <v>962</v>
      </c>
      <c r="C329">
        <v>0</v>
      </c>
      <c r="E329" t="s">
        <v>977</v>
      </c>
      <c r="F329" t="s">
        <v>1080</v>
      </c>
      <c r="G329" t="s">
        <v>962</v>
      </c>
      <c r="H329">
        <v>1.988</v>
      </c>
      <c r="J329">
        <v>105336826</v>
      </c>
      <c r="K329" s="2">
        <v>43083</v>
      </c>
      <c r="L329">
        <v>21</v>
      </c>
      <c r="M329">
        <v>1</v>
      </c>
      <c r="N329">
        <v>0</v>
      </c>
      <c r="O329">
        <v>1</v>
      </c>
      <c r="P329" t="s">
        <v>7</v>
      </c>
    </row>
    <row r="330" spans="1:19">
      <c r="A330" t="s">
        <v>1021</v>
      </c>
      <c r="B330" t="s">
        <v>965</v>
      </c>
      <c r="C330">
        <v>0</v>
      </c>
      <c r="E330" t="s">
        <v>967</v>
      </c>
      <c r="G330" t="s">
        <v>961</v>
      </c>
      <c r="H330">
        <v>0.21099999999999999</v>
      </c>
      <c r="J330">
        <v>105329610</v>
      </c>
      <c r="K330" s="2">
        <v>43073</v>
      </c>
      <c r="L330">
        <v>30</v>
      </c>
      <c r="M330">
        <v>1</v>
      </c>
      <c r="O330">
        <v>1</v>
      </c>
      <c r="P330" t="s">
        <v>7</v>
      </c>
    </row>
    <row r="331" spans="1:19">
      <c r="A331" t="s">
        <v>1021</v>
      </c>
      <c r="B331" t="s">
        <v>967</v>
      </c>
      <c r="C331">
        <v>0</v>
      </c>
      <c r="E331" t="s">
        <v>965</v>
      </c>
      <c r="F331" t="s">
        <v>1023</v>
      </c>
      <c r="G331" t="s">
        <v>960</v>
      </c>
      <c r="H331">
        <v>1.4890000000000001</v>
      </c>
      <c r="J331">
        <v>105329614</v>
      </c>
      <c r="K331" s="2">
        <v>43075</v>
      </c>
      <c r="L331">
        <v>30</v>
      </c>
      <c r="M331">
        <v>2</v>
      </c>
      <c r="N331">
        <v>7</v>
      </c>
      <c r="O331">
        <v>1</v>
      </c>
      <c r="P331" t="s">
        <v>7</v>
      </c>
    </row>
    <row r="332" spans="1:19">
      <c r="A332" t="s">
        <v>1021</v>
      </c>
      <c r="B332" t="s">
        <v>965</v>
      </c>
      <c r="C332">
        <v>4.0000000000000001E-3</v>
      </c>
      <c r="D332" t="s">
        <v>758</v>
      </c>
      <c r="E332" t="s">
        <v>968</v>
      </c>
      <c r="F332" t="s">
        <v>977</v>
      </c>
      <c r="G332" t="s">
        <v>962</v>
      </c>
      <c r="H332">
        <v>2.1880000000000002</v>
      </c>
      <c r="J332">
        <v>105377027</v>
      </c>
      <c r="K332" s="2">
        <v>43120</v>
      </c>
      <c r="L332">
        <v>21</v>
      </c>
      <c r="M332">
        <v>4</v>
      </c>
      <c r="N332">
        <v>7</v>
      </c>
      <c r="O332">
        <v>1</v>
      </c>
      <c r="P332" t="s">
        <v>7</v>
      </c>
    </row>
    <row r="333" spans="1:19">
      <c r="A333" t="s">
        <v>1021</v>
      </c>
      <c r="B333" t="s">
        <v>1081</v>
      </c>
      <c r="C333">
        <v>0</v>
      </c>
      <c r="D333" t="s">
        <v>758</v>
      </c>
      <c r="E333" t="s">
        <v>965</v>
      </c>
      <c r="F333" t="s">
        <v>966</v>
      </c>
      <c r="G333" t="s">
        <v>968</v>
      </c>
      <c r="H333">
        <v>7.75</v>
      </c>
      <c r="J333">
        <v>105353829</v>
      </c>
      <c r="K333" s="2">
        <v>43099</v>
      </c>
      <c r="L333">
        <v>31</v>
      </c>
      <c r="M333">
        <v>1</v>
      </c>
      <c r="N333">
        <v>0</v>
      </c>
      <c r="O333">
        <v>1</v>
      </c>
      <c r="P333" t="s">
        <v>7</v>
      </c>
    </row>
    <row r="334" spans="1:19">
      <c r="A334" t="s">
        <v>1021</v>
      </c>
      <c r="B334" t="s">
        <v>965</v>
      </c>
      <c r="C334">
        <v>4.7E-2</v>
      </c>
      <c r="D334" t="s">
        <v>756</v>
      </c>
      <c r="E334" t="s">
        <v>977</v>
      </c>
      <c r="F334" t="s">
        <v>1082</v>
      </c>
      <c r="G334" t="s">
        <v>962</v>
      </c>
      <c r="H334">
        <v>2.0350000000000001</v>
      </c>
      <c r="J334">
        <v>105312008</v>
      </c>
      <c r="K334" s="2">
        <v>43066</v>
      </c>
      <c r="L334">
        <v>1</v>
      </c>
      <c r="M334">
        <v>1</v>
      </c>
      <c r="N334">
        <v>0</v>
      </c>
      <c r="O334">
        <v>1</v>
      </c>
      <c r="P334" t="s">
        <v>7</v>
      </c>
    </row>
    <row r="335" spans="1:19">
      <c r="A335" t="s">
        <v>1021</v>
      </c>
      <c r="B335" t="s">
        <v>968</v>
      </c>
      <c r="C335">
        <v>0</v>
      </c>
      <c r="E335" t="s">
        <v>963</v>
      </c>
      <c r="F335" t="s">
        <v>965</v>
      </c>
      <c r="G335" t="s">
        <v>968</v>
      </c>
      <c r="H335">
        <v>7.5890000000000004</v>
      </c>
      <c r="J335">
        <v>105389685</v>
      </c>
      <c r="K335" s="2">
        <v>43145</v>
      </c>
      <c r="L335">
        <v>24</v>
      </c>
      <c r="M335">
        <v>1</v>
      </c>
      <c r="N335">
        <v>8</v>
      </c>
      <c r="O335">
        <v>1</v>
      </c>
      <c r="P335" t="s">
        <v>8</v>
      </c>
    </row>
    <row r="336" spans="1:19">
      <c r="A336" t="s">
        <v>1021</v>
      </c>
      <c r="B336" t="s">
        <v>965</v>
      </c>
      <c r="C336">
        <v>0</v>
      </c>
      <c r="E336" t="s">
        <v>1032</v>
      </c>
      <c r="F336" t="s">
        <v>1054</v>
      </c>
      <c r="G336" t="s">
        <v>961</v>
      </c>
      <c r="H336">
        <v>1.843</v>
      </c>
      <c r="J336">
        <v>105277883</v>
      </c>
      <c r="K336" s="2">
        <v>43022</v>
      </c>
      <c r="L336">
        <v>21</v>
      </c>
      <c r="M336">
        <v>1</v>
      </c>
      <c r="N336">
        <v>7</v>
      </c>
      <c r="O336">
        <v>1</v>
      </c>
      <c r="P336" t="s">
        <v>7</v>
      </c>
    </row>
    <row r="337" spans="1:16">
      <c r="A337" t="s">
        <v>1021</v>
      </c>
      <c r="B337" t="s">
        <v>964</v>
      </c>
      <c r="C337">
        <v>0.3</v>
      </c>
      <c r="D337" t="s">
        <v>757</v>
      </c>
      <c r="E337" t="s">
        <v>966</v>
      </c>
      <c r="F337" t="s">
        <v>968</v>
      </c>
      <c r="G337" t="s">
        <v>960</v>
      </c>
      <c r="H337">
        <v>0.42699999999999999</v>
      </c>
      <c r="J337">
        <v>105277887</v>
      </c>
      <c r="K337" s="2">
        <v>43026</v>
      </c>
      <c r="L337">
        <v>21</v>
      </c>
      <c r="M337">
        <v>1</v>
      </c>
      <c r="N337">
        <v>0</v>
      </c>
      <c r="O337">
        <v>1</v>
      </c>
      <c r="P337" t="s">
        <v>7</v>
      </c>
    </row>
    <row r="338" spans="1:16">
      <c r="A338" t="s">
        <v>1021</v>
      </c>
      <c r="B338" t="s">
        <v>962</v>
      </c>
      <c r="C338">
        <v>0</v>
      </c>
      <c r="E338" t="s">
        <v>968</v>
      </c>
      <c r="F338" t="s">
        <v>977</v>
      </c>
      <c r="G338" t="s">
        <v>962</v>
      </c>
      <c r="H338">
        <v>2.1920000000000002</v>
      </c>
      <c r="J338">
        <v>105561216</v>
      </c>
      <c r="K338" s="2">
        <v>43307</v>
      </c>
      <c r="L338">
        <v>21</v>
      </c>
      <c r="M338">
        <v>1</v>
      </c>
      <c r="N338">
        <v>7</v>
      </c>
      <c r="O338">
        <v>1</v>
      </c>
      <c r="P338" t="s">
        <v>7</v>
      </c>
    </row>
    <row r="339" spans="1:16">
      <c r="A339" t="s">
        <v>1021</v>
      </c>
      <c r="B339" t="s">
        <v>1033</v>
      </c>
      <c r="C339">
        <v>0</v>
      </c>
      <c r="E339" t="s">
        <v>965</v>
      </c>
      <c r="F339" t="s">
        <v>1083</v>
      </c>
      <c r="G339" t="s">
        <v>1033</v>
      </c>
      <c r="H339">
        <v>999.99900000000002</v>
      </c>
      <c r="J339">
        <v>105353830</v>
      </c>
      <c r="K339" s="2">
        <v>43099</v>
      </c>
      <c r="L339">
        <v>30</v>
      </c>
      <c r="M339">
        <v>1</v>
      </c>
      <c r="N339">
        <v>7</v>
      </c>
      <c r="O339">
        <v>1</v>
      </c>
      <c r="P339" t="s">
        <v>3</v>
      </c>
    </row>
    <row r="340" spans="1:16">
      <c r="A340" t="s">
        <v>1021</v>
      </c>
      <c r="B340" t="s">
        <v>979</v>
      </c>
      <c r="C340">
        <v>0</v>
      </c>
      <c r="E340" t="s">
        <v>965</v>
      </c>
      <c r="F340" t="s">
        <v>1071</v>
      </c>
      <c r="G340" t="s">
        <v>979</v>
      </c>
      <c r="H340">
        <v>9.6630000000000003</v>
      </c>
      <c r="J340">
        <v>105382917</v>
      </c>
      <c r="K340" s="2">
        <v>43106</v>
      </c>
      <c r="L340">
        <v>30</v>
      </c>
      <c r="M340">
        <v>4</v>
      </c>
      <c r="N340">
        <v>16</v>
      </c>
      <c r="O340">
        <v>1</v>
      </c>
      <c r="P340" t="s">
        <v>7</v>
      </c>
    </row>
    <row r="341" spans="1:16">
      <c r="A341" t="s">
        <v>1021</v>
      </c>
      <c r="B341" t="s">
        <v>965</v>
      </c>
      <c r="C341">
        <v>8.9999999999999993E-3</v>
      </c>
      <c r="D341" t="s">
        <v>756</v>
      </c>
      <c r="E341" t="s">
        <v>968</v>
      </c>
      <c r="F341" t="s">
        <v>967</v>
      </c>
      <c r="G341" t="s">
        <v>961</v>
      </c>
      <c r="H341">
        <v>8.9999999999999993E-3</v>
      </c>
      <c r="J341">
        <v>105611393</v>
      </c>
      <c r="K341" s="2">
        <v>43349</v>
      </c>
      <c r="L341">
        <v>28</v>
      </c>
      <c r="M341">
        <v>1</v>
      </c>
      <c r="N341">
        <v>7</v>
      </c>
      <c r="O341">
        <v>1</v>
      </c>
      <c r="P341" t="s">
        <v>7</v>
      </c>
    </row>
    <row r="342" spans="1:16">
      <c r="A342" t="s">
        <v>1021</v>
      </c>
      <c r="B342" t="s">
        <v>965</v>
      </c>
      <c r="C342">
        <v>0</v>
      </c>
      <c r="E342" t="s">
        <v>1032</v>
      </c>
      <c r="F342" t="s">
        <v>1071</v>
      </c>
      <c r="G342" t="s">
        <v>961</v>
      </c>
      <c r="H342">
        <v>1.843</v>
      </c>
      <c r="J342">
        <v>105392275</v>
      </c>
      <c r="K342" s="2">
        <v>43133</v>
      </c>
      <c r="L342">
        <v>30</v>
      </c>
      <c r="M342">
        <v>1</v>
      </c>
      <c r="N342">
        <v>7</v>
      </c>
      <c r="O342">
        <v>1</v>
      </c>
      <c r="P342" t="s">
        <v>3</v>
      </c>
    </row>
    <row r="343" spans="1:16">
      <c r="A343" t="s">
        <v>1021</v>
      </c>
      <c r="B343" t="s">
        <v>965</v>
      </c>
      <c r="C343">
        <v>0</v>
      </c>
      <c r="D343" t="s">
        <v>756</v>
      </c>
      <c r="E343" t="s">
        <v>1039</v>
      </c>
      <c r="F343" t="s">
        <v>1064</v>
      </c>
      <c r="G343" t="s">
        <v>961</v>
      </c>
      <c r="H343">
        <v>0.83899999999999997</v>
      </c>
      <c r="J343">
        <v>105311935</v>
      </c>
      <c r="K343" s="2">
        <v>43058</v>
      </c>
      <c r="L343">
        <v>19</v>
      </c>
      <c r="M343">
        <v>2</v>
      </c>
      <c r="N343">
        <v>0</v>
      </c>
      <c r="O343">
        <v>1</v>
      </c>
      <c r="P343" t="s">
        <v>7</v>
      </c>
    </row>
    <row r="344" spans="1:16">
      <c r="A344" t="s">
        <v>1021</v>
      </c>
      <c r="B344" t="s">
        <v>965</v>
      </c>
      <c r="C344">
        <v>0</v>
      </c>
      <c r="E344" t="s">
        <v>963</v>
      </c>
      <c r="G344" t="s">
        <v>961</v>
      </c>
      <c r="H344">
        <v>0.21099999999999999</v>
      </c>
      <c r="J344">
        <v>105329607</v>
      </c>
      <c r="K344" s="2">
        <v>43070</v>
      </c>
      <c r="L344">
        <v>30</v>
      </c>
      <c r="M344">
        <v>1</v>
      </c>
      <c r="O344">
        <v>1</v>
      </c>
      <c r="P344" t="s">
        <v>7</v>
      </c>
    </row>
    <row r="345" spans="1:16">
      <c r="A345" t="s">
        <v>1021</v>
      </c>
      <c r="B345" t="s">
        <v>965</v>
      </c>
      <c r="C345">
        <v>0.1</v>
      </c>
      <c r="D345" t="s">
        <v>758</v>
      </c>
      <c r="E345" t="s">
        <v>967</v>
      </c>
      <c r="F345" t="s">
        <v>1084</v>
      </c>
      <c r="G345" t="s">
        <v>961</v>
      </c>
      <c r="H345">
        <v>0.111</v>
      </c>
      <c r="J345">
        <v>105329622</v>
      </c>
      <c r="K345" s="2">
        <v>43079</v>
      </c>
      <c r="L345">
        <v>24</v>
      </c>
      <c r="M345">
        <v>1</v>
      </c>
      <c r="N345">
        <v>8</v>
      </c>
      <c r="O345">
        <v>1</v>
      </c>
      <c r="P345" t="s">
        <v>3</v>
      </c>
    </row>
    <row r="346" spans="1:16">
      <c r="A346" t="s">
        <v>1021</v>
      </c>
      <c r="B346" t="s">
        <v>965</v>
      </c>
      <c r="C346">
        <v>0.4</v>
      </c>
      <c r="D346" t="s">
        <v>756</v>
      </c>
      <c r="E346" t="s">
        <v>1020</v>
      </c>
      <c r="F346" t="s">
        <v>1039</v>
      </c>
      <c r="G346" t="s">
        <v>961</v>
      </c>
      <c r="H346">
        <v>0.74</v>
      </c>
      <c r="J346">
        <v>105311932</v>
      </c>
      <c r="K346" s="2">
        <v>43059</v>
      </c>
      <c r="L346">
        <v>30</v>
      </c>
      <c r="M346">
        <v>1</v>
      </c>
      <c r="N346">
        <v>7</v>
      </c>
      <c r="O346">
        <v>1</v>
      </c>
      <c r="P346" t="s">
        <v>7</v>
      </c>
    </row>
    <row r="347" spans="1:16">
      <c r="A347" t="s">
        <v>1021</v>
      </c>
      <c r="B347" t="s">
        <v>968</v>
      </c>
      <c r="C347">
        <v>0</v>
      </c>
      <c r="E347" t="s">
        <v>963</v>
      </c>
      <c r="G347" t="s">
        <v>968</v>
      </c>
      <c r="H347">
        <v>7.5890000000000004</v>
      </c>
      <c r="J347">
        <v>105377035</v>
      </c>
      <c r="K347" s="2">
        <v>43126</v>
      </c>
      <c r="L347">
        <v>21</v>
      </c>
      <c r="M347">
        <v>1</v>
      </c>
      <c r="O347">
        <v>1</v>
      </c>
      <c r="P347" t="s">
        <v>3</v>
      </c>
    </row>
    <row r="348" spans="1:16">
      <c r="A348" t="s">
        <v>1021</v>
      </c>
      <c r="B348" t="s">
        <v>968</v>
      </c>
      <c r="C348">
        <v>2.8000000000000001E-2</v>
      </c>
      <c r="D348" t="s">
        <v>762</v>
      </c>
      <c r="E348" t="s">
        <v>965</v>
      </c>
      <c r="F348" t="s">
        <v>963</v>
      </c>
      <c r="G348" t="s">
        <v>968</v>
      </c>
      <c r="H348">
        <v>7.7220000000000004</v>
      </c>
      <c r="J348">
        <v>108340932</v>
      </c>
      <c r="K348" s="2">
        <v>46008</v>
      </c>
      <c r="L348">
        <v>22</v>
      </c>
      <c r="M348">
        <v>1</v>
      </c>
      <c r="N348">
        <v>7</v>
      </c>
      <c r="O348">
        <v>4</v>
      </c>
      <c r="P348" t="s">
        <v>7</v>
      </c>
    </row>
    <row r="349" spans="1:16">
      <c r="A349" t="s">
        <v>1021</v>
      </c>
      <c r="B349" t="s">
        <v>1035</v>
      </c>
      <c r="C349">
        <v>1.4999999999999999E-2</v>
      </c>
      <c r="D349" t="s">
        <v>763</v>
      </c>
      <c r="E349" t="s">
        <v>965</v>
      </c>
      <c r="F349" t="s">
        <v>1033</v>
      </c>
      <c r="G349" t="s">
        <v>1036</v>
      </c>
      <c r="H349">
        <v>0.46500000000000002</v>
      </c>
      <c r="J349">
        <v>108357136</v>
      </c>
      <c r="K349" s="2">
        <v>46021</v>
      </c>
      <c r="L349">
        <v>30</v>
      </c>
      <c r="M349">
        <v>1</v>
      </c>
      <c r="N349">
        <v>0</v>
      </c>
      <c r="O349">
        <v>1</v>
      </c>
      <c r="P349" t="s">
        <v>7</v>
      </c>
    </row>
    <row r="350" spans="1:16">
      <c r="A350" t="s">
        <v>1021</v>
      </c>
      <c r="B350" t="s">
        <v>965</v>
      </c>
      <c r="C350">
        <v>0</v>
      </c>
      <c r="E350" t="s">
        <v>1022</v>
      </c>
      <c r="F350" t="s">
        <v>963</v>
      </c>
      <c r="G350" t="s">
        <v>961</v>
      </c>
      <c r="H350">
        <v>0.21099999999999999</v>
      </c>
      <c r="J350">
        <v>104981930</v>
      </c>
      <c r="K350" s="2">
        <v>42713</v>
      </c>
      <c r="L350">
        <v>30</v>
      </c>
      <c r="M350">
        <v>1</v>
      </c>
      <c r="N350">
        <v>8</v>
      </c>
      <c r="O350">
        <v>1</v>
      </c>
      <c r="P350" t="s">
        <v>7</v>
      </c>
    </row>
    <row r="351" spans="1:16">
      <c r="A351" t="s">
        <v>1021</v>
      </c>
      <c r="B351" t="s">
        <v>965</v>
      </c>
      <c r="C351">
        <v>4.0000000000000001E-3</v>
      </c>
      <c r="D351" t="s">
        <v>756</v>
      </c>
      <c r="E351" t="s">
        <v>1061</v>
      </c>
      <c r="F351" t="s">
        <v>1062</v>
      </c>
      <c r="G351" t="s">
        <v>1063</v>
      </c>
      <c r="H351">
        <v>0.48799999999999999</v>
      </c>
      <c r="J351">
        <v>104963629</v>
      </c>
      <c r="K351" s="2">
        <v>42706</v>
      </c>
      <c r="L351">
        <v>17</v>
      </c>
      <c r="M351">
        <v>1</v>
      </c>
      <c r="N351">
        <v>0</v>
      </c>
      <c r="O351">
        <v>1</v>
      </c>
      <c r="P351" t="s">
        <v>7</v>
      </c>
    </row>
    <row r="352" spans="1:16">
      <c r="A352" t="s">
        <v>1021</v>
      </c>
      <c r="B352" t="s">
        <v>964</v>
      </c>
      <c r="C352">
        <v>0.4</v>
      </c>
      <c r="D352" t="s">
        <v>764</v>
      </c>
      <c r="E352" t="s">
        <v>967</v>
      </c>
      <c r="F352" t="s">
        <v>968</v>
      </c>
      <c r="G352" t="s">
        <v>960</v>
      </c>
      <c r="H352">
        <v>0.32700000000000001</v>
      </c>
      <c r="J352">
        <v>105007263</v>
      </c>
      <c r="K352" s="2">
        <v>42753</v>
      </c>
      <c r="L352">
        <v>30</v>
      </c>
      <c r="M352">
        <v>1</v>
      </c>
      <c r="N352">
        <v>9</v>
      </c>
      <c r="O352">
        <v>1</v>
      </c>
      <c r="P352" t="s">
        <v>3</v>
      </c>
    </row>
    <row r="353" spans="1:16">
      <c r="A353" t="s">
        <v>1021</v>
      </c>
      <c r="B353" t="s">
        <v>965</v>
      </c>
      <c r="C353">
        <v>0.01</v>
      </c>
      <c r="D353" t="s">
        <v>758</v>
      </c>
      <c r="E353" t="s">
        <v>967</v>
      </c>
      <c r="F353" t="s">
        <v>968</v>
      </c>
      <c r="G353" t="s">
        <v>961</v>
      </c>
      <c r="H353">
        <v>0.20100000000000001</v>
      </c>
      <c r="J353">
        <v>104999009</v>
      </c>
      <c r="K353" s="2">
        <v>42739</v>
      </c>
      <c r="L353">
        <v>30</v>
      </c>
      <c r="M353">
        <v>1</v>
      </c>
      <c r="N353">
        <v>4</v>
      </c>
      <c r="O353">
        <v>1</v>
      </c>
      <c r="P353" t="s">
        <v>7</v>
      </c>
    </row>
    <row r="354" spans="1:16">
      <c r="A354" t="s">
        <v>1021</v>
      </c>
      <c r="B354" t="s">
        <v>968</v>
      </c>
      <c r="C354">
        <v>3.0000000000000001E-3</v>
      </c>
      <c r="D354" t="s">
        <v>757</v>
      </c>
      <c r="E354" t="s">
        <v>965</v>
      </c>
      <c r="F354" t="s">
        <v>1085</v>
      </c>
      <c r="G354" t="s">
        <v>968</v>
      </c>
      <c r="H354">
        <v>7.7530000000000001</v>
      </c>
      <c r="J354">
        <v>104998988</v>
      </c>
      <c r="K354" s="2">
        <v>42734</v>
      </c>
      <c r="L354">
        <v>30</v>
      </c>
      <c r="M354">
        <v>1</v>
      </c>
      <c r="N354">
        <v>7</v>
      </c>
      <c r="O354">
        <v>4</v>
      </c>
      <c r="P354" t="s">
        <v>7</v>
      </c>
    </row>
    <row r="355" spans="1:16">
      <c r="A355" t="s">
        <v>1021</v>
      </c>
      <c r="B355" t="s">
        <v>965</v>
      </c>
      <c r="C355">
        <v>5.0000000000000001E-3</v>
      </c>
      <c r="D355" t="s">
        <v>756</v>
      </c>
      <c r="E355" t="s">
        <v>1025</v>
      </c>
      <c r="F355" t="s">
        <v>1026</v>
      </c>
      <c r="G355" t="s">
        <v>965</v>
      </c>
      <c r="H355">
        <v>999.99900000000002</v>
      </c>
      <c r="J355">
        <v>105007262</v>
      </c>
      <c r="K355" s="2">
        <v>42752</v>
      </c>
      <c r="L355">
        <v>1</v>
      </c>
      <c r="M355">
        <v>2</v>
      </c>
      <c r="N355">
        <v>8</v>
      </c>
      <c r="O355">
        <v>4</v>
      </c>
      <c r="P355" t="s">
        <v>7</v>
      </c>
    </row>
    <row r="356" spans="1:16">
      <c r="A356" t="s">
        <v>1021</v>
      </c>
      <c r="B356" t="s">
        <v>966</v>
      </c>
      <c r="C356">
        <v>0</v>
      </c>
      <c r="D356" t="s">
        <v>757</v>
      </c>
      <c r="E356" t="s">
        <v>1086</v>
      </c>
      <c r="F356" t="s">
        <v>1087</v>
      </c>
      <c r="H356">
        <v>999.99900000000002</v>
      </c>
      <c r="J356">
        <v>105056693</v>
      </c>
      <c r="K356" s="2">
        <v>42816</v>
      </c>
      <c r="L356">
        <v>30</v>
      </c>
      <c r="M356">
        <v>1</v>
      </c>
      <c r="N356">
        <v>8</v>
      </c>
      <c r="O356">
        <v>1</v>
      </c>
      <c r="P356" t="s">
        <v>3</v>
      </c>
    </row>
    <row r="357" spans="1:16">
      <c r="A357" t="s">
        <v>1021</v>
      </c>
      <c r="B357" t="s">
        <v>965</v>
      </c>
      <c r="C357">
        <v>0</v>
      </c>
      <c r="E357" t="s">
        <v>979</v>
      </c>
      <c r="F357" t="s">
        <v>1088</v>
      </c>
      <c r="G357" t="s">
        <v>961</v>
      </c>
      <c r="H357">
        <v>1.5960000000000001</v>
      </c>
      <c r="J357">
        <v>104998989</v>
      </c>
      <c r="K357" s="2">
        <v>42735</v>
      </c>
      <c r="L357">
        <v>30</v>
      </c>
      <c r="M357">
        <v>1</v>
      </c>
      <c r="N357">
        <v>7</v>
      </c>
      <c r="O357">
        <v>4</v>
      </c>
      <c r="P357" t="s">
        <v>3</v>
      </c>
    </row>
    <row r="358" spans="1:16">
      <c r="A358" t="s">
        <v>1021</v>
      </c>
      <c r="B358" t="s">
        <v>965</v>
      </c>
      <c r="C358">
        <v>0</v>
      </c>
      <c r="E358" t="s">
        <v>975</v>
      </c>
      <c r="F358" t="s">
        <v>968</v>
      </c>
      <c r="G358" t="s">
        <v>962</v>
      </c>
      <c r="H358">
        <v>1.9019999999999999</v>
      </c>
      <c r="J358">
        <v>104951394</v>
      </c>
      <c r="K358" s="2">
        <v>42720</v>
      </c>
      <c r="L358">
        <v>21</v>
      </c>
      <c r="M358">
        <v>1</v>
      </c>
      <c r="N358">
        <v>8</v>
      </c>
      <c r="O358">
        <v>1</v>
      </c>
      <c r="P358" t="s">
        <v>7</v>
      </c>
    </row>
    <row r="359" spans="1:16">
      <c r="A359" t="s">
        <v>1021</v>
      </c>
      <c r="B359" t="s">
        <v>967</v>
      </c>
      <c r="C359">
        <v>3.0000000000000001E-3</v>
      </c>
      <c r="D359" t="s">
        <v>757</v>
      </c>
      <c r="E359" t="s">
        <v>1089</v>
      </c>
      <c r="F359" t="s">
        <v>1029</v>
      </c>
      <c r="H359">
        <v>999.99900000000002</v>
      </c>
      <c r="J359">
        <v>105168876</v>
      </c>
      <c r="K359" s="2">
        <v>42920</v>
      </c>
      <c r="L359">
        <v>1</v>
      </c>
      <c r="M359">
        <v>2</v>
      </c>
      <c r="N359">
        <v>4</v>
      </c>
      <c r="O359">
        <v>6</v>
      </c>
      <c r="P359" t="s">
        <v>7</v>
      </c>
    </row>
    <row r="360" spans="1:16">
      <c r="A360" t="s">
        <v>1021</v>
      </c>
      <c r="B360" t="s">
        <v>968</v>
      </c>
      <c r="C360">
        <v>0</v>
      </c>
      <c r="E360" t="s">
        <v>965</v>
      </c>
      <c r="F360" t="s">
        <v>1072</v>
      </c>
      <c r="G360" t="s">
        <v>968</v>
      </c>
      <c r="H360">
        <v>7.75</v>
      </c>
      <c r="J360">
        <v>104982045</v>
      </c>
      <c r="K360" s="2">
        <v>42723</v>
      </c>
      <c r="L360">
        <v>21</v>
      </c>
      <c r="M360">
        <v>1</v>
      </c>
      <c r="N360">
        <v>7</v>
      </c>
      <c r="O360">
        <v>4</v>
      </c>
      <c r="P360" t="s">
        <v>7</v>
      </c>
    </row>
    <row r="361" spans="1:16">
      <c r="A361" t="s">
        <v>1021</v>
      </c>
      <c r="B361" t="s">
        <v>965</v>
      </c>
      <c r="C361">
        <v>1.4E-2</v>
      </c>
      <c r="D361" t="s">
        <v>758</v>
      </c>
      <c r="E361" t="s">
        <v>1032</v>
      </c>
      <c r="F361" t="s">
        <v>979</v>
      </c>
      <c r="G361" t="s">
        <v>961</v>
      </c>
      <c r="H361">
        <v>1.829</v>
      </c>
      <c r="J361">
        <v>105007255</v>
      </c>
      <c r="K361" s="2">
        <v>42748</v>
      </c>
      <c r="L361">
        <v>30</v>
      </c>
      <c r="M361">
        <v>1</v>
      </c>
      <c r="N361">
        <v>0</v>
      </c>
      <c r="O361">
        <v>1</v>
      </c>
      <c r="P361" t="s">
        <v>7</v>
      </c>
    </row>
    <row r="362" spans="1:16">
      <c r="A362" t="s">
        <v>1021</v>
      </c>
      <c r="B362" t="s">
        <v>965</v>
      </c>
      <c r="C362">
        <v>0</v>
      </c>
      <c r="E362" t="s">
        <v>1062</v>
      </c>
      <c r="F362" t="s">
        <v>1061</v>
      </c>
      <c r="G362" t="s">
        <v>1063</v>
      </c>
      <c r="H362">
        <v>0.53900000000000003</v>
      </c>
      <c r="J362">
        <v>105156545</v>
      </c>
      <c r="K362" s="2">
        <v>42909</v>
      </c>
      <c r="L362">
        <v>21</v>
      </c>
      <c r="M362">
        <v>1</v>
      </c>
      <c r="N362">
        <v>9</v>
      </c>
      <c r="O362">
        <v>1</v>
      </c>
      <c r="P362" t="s">
        <v>3</v>
      </c>
    </row>
    <row r="363" spans="1:16">
      <c r="A363" t="s">
        <v>1021</v>
      </c>
      <c r="B363" t="s">
        <v>962</v>
      </c>
      <c r="C363">
        <v>0</v>
      </c>
      <c r="E363" t="s">
        <v>977</v>
      </c>
      <c r="F363" t="s">
        <v>968</v>
      </c>
      <c r="G363" t="s">
        <v>962</v>
      </c>
      <c r="H363">
        <v>1.988</v>
      </c>
      <c r="J363">
        <v>105144806</v>
      </c>
      <c r="K363" s="2">
        <v>42912</v>
      </c>
      <c r="L363">
        <v>24</v>
      </c>
      <c r="M363">
        <v>1</v>
      </c>
      <c r="N363">
        <v>8</v>
      </c>
      <c r="O363">
        <v>1</v>
      </c>
      <c r="P363" t="s">
        <v>7</v>
      </c>
    </row>
    <row r="364" spans="1:16">
      <c r="A364" t="s">
        <v>1021</v>
      </c>
      <c r="B364" t="s">
        <v>1033</v>
      </c>
      <c r="C364">
        <v>2.8000000000000001E-2</v>
      </c>
      <c r="D364" t="s">
        <v>757</v>
      </c>
      <c r="E364" t="s">
        <v>965</v>
      </c>
      <c r="F364" t="s">
        <v>1032</v>
      </c>
      <c r="G364" t="s">
        <v>1036</v>
      </c>
      <c r="H364">
        <v>0.45200000000000001</v>
      </c>
      <c r="I364" t="s">
        <v>61</v>
      </c>
      <c r="J364">
        <v>107758802</v>
      </c>
      <c r="K364" s="2">
        <v>45464</v>
      </c>
      <c r="L364">
        <v>21</v>
      </c>
      <c r="M364">
        <v>1</v>
      </c>
      <c r="N364">
        <v>0</v>
      </c>
      <c r="O364">
        <v>1</v>
      </c>
      <c r="P364" t="s">
        <v>7</v>
      </c>
    </row>
    <row r="365" spans="1:16">
      <c r="A365" t="s">
        <v>1021</v>
      </c>
      <c r="B365" t="s">
        <v>965</v>
      </c>
      <c r="C365">
        <v>1.4E-2</v>
      </c>
      <c r="D365" t="s">
        <v>756</v>
      </c>
      <c r="E365" t="s">
        <v>963</v>
      </c>
      <c r="F365" t="s">
        <v>1023</v>
      </c>
      <c r="G365" t="s">
        <v>961</v>
      </c>
      <c r="H365">
        <v>0.22500000000000001</v>
      </c>
      <c r="J365">
        <v>105186073</v>
      </c>
      <c r="K365" s="2">
        <v>42944</v>
      </c>
      <c r="L365">
        <v>19</v>
      </c>
      <c r="M365">
        <v>2</v>
      </c>
      <c r="N365">
        <v>7</v>
      </c>
      <c r="O365">
        <v>2</v>
      </c>
      <c r="P365" t="s">
        <v>7</v>
      </c>
    </row>
    <row r="366" spans="1:16">
      <c r="A366" t="s">
        <v>1021</v>
      </c>
      <c r="B366" t="s">
        <v>965</v>
      </c>
      <c r="C366">
        <v>0</v>
      </c>
      <c r="E366" t="s">
        <v>979</v>
      </c>
      <c r="F366" t="s">
        <v>1052</v>
      </c>
      <c r="G366" t="s">
        <v>961</v>
      </c>
      <c r="H366">
        <v>1.5960000000000001</v>
      </c>
      <c r="J366">
        <v>104982032</v>
      </c>
      <c r="K366" s="2">
        <v>42730</v>
      </c>
      <c r="L366">
        <v>30</v>
      </c>
      <c r="M366">
        <v>1</v>
      </c>
      <c r="N366">
        <v>8</v>
      </c>
      <c r="O366">
        <v>2</v>
      </c>
      <c r="P366" t="s">
        <v>7</v>
      </c>
    </row>
    <row r="367" spans="1:16">
      <c r="A367" t="s">
        <v>1021</v>
      </c>
      <c r="B367" t="s">
        <v>965</v>
      </c>
      <c r="C367">
        <v>0</v>
      </c>
      <c r="E367" t="s">
        <v>1022</v>
      </c>
      <c r="F367" t="s">
        <v>968</v>
      </c>
      <c r="G367" t="s">
        <v>961</v>
      </c>
      <c r="H367">
        <v>0.21099999999999999</v>
      </c>
      <c r="J367">
        <v>104982048</v>
      </c>
      <c r="K367" s="2">
        <v>42719</v>
      </c>
      <c r="L367">
        <v>30</v>
      </c>
      <c r="M367">
        <v>1</v>
      </c>
      <c r="N367">
        <v>8</v>
      </c>
      <c r="O367">
        <v>1</v>
      </c>
      <c r="P367" t="s">
        <v>7</v>
      </c>
    </row>
    <row r="368" spans="1:16">
      <c r="A368" t="s">
        <v>1021</v>
      </c>
      <c r="B368" t="s">
        <v>1062</v>
      </c>
      <c r="C368">
        <v>0</v>
      </c>
      <c r="E368" t="s">
        <v>965</v>
      </c>
      <c r="F368" t="s">
        <v>1090</v>
      </c>
      <c r="G368" t="s">
        <v>1091</v>
      </c>
      <c r="H368">
        <v>0.38800000000000001</v>
      </c>
      <c r="J368">
        <v>105186093</v>
      </c>
      <c r="K368" s="2">
        <v>42940</v>
      </c>
      <c r="L368">
        <v>30</v>
      </c>
      <c r="M368">
        <v>1</v>
      </c>
      <c r="N368">
        <v>8</v>
      </c>
      <c r="O368">
        <v>1</v>
      </c>
      <c r="P368" t="s">
        <v>8</v>
      </c>
    </row>
    <row r="369" spans="1:16">
      <c r="A369" t="s">
        <v>1021</v>
      </c>
      <c r="B369" t="s">
        <v>965</v>
      </c>
      <c r="C369">
        <v>2.3E-2</v>
      </c>
      <c r="E369" t="s">
        <v>1023</v>
      </c>
      <c r="F369" t="s">
        <v>1064</v>
      </c>
      <c r="G369" t="s">
        <v>961</v>
      </c>
      <c r="H369">
        <v>0.68799999999999994</v>
      </c>
      <c r="I369" t="s">
        <v>61</v>
      </c>
      <c r="J369">
        <v>105214574</v>
      </c>
      <c r="K369" s="2">
        <v>42970</v>
      </c>
      <c r="L369">
        <v>28</v>
      </c>
      <c r="M369">
        <v>1</v>
      </c>
      <c r="N369">
        <v>0</v>
      </c>
      <c r="O369">
        <v>2</v>
      </c>
      <c r="P369" t="s">
        <v>7</v>
      </c>
    </row>
    <row r="370" spans="1:16">
      <c r="A370" t="s">
        <v>1021</v>
      </c>
      <c r="B370" t="s">
        <v>965</v>
      </c>
      <c r="C370">
        <v>0</v>
      </c>
      <c r="E370" t="s">
        <v>1062</v>
      </c>
      <c r="F370" t="s">
        <v>1061</v>
      </c>
      <c r="G370" t="s">
        <v>1063</v>
      </c>
      <c r="H370">
        <v>0.53900000000000003</v>
      </c>
      <c r="J370">
        <v>108086785</v>
      </c>
      <c r="K370" s="2">
        <v>45769</v>
      </c>
      <c r="L370">
        <v>21</v>
      </c>
      <c r="M370">
        <v>1</v>
      </c>
      <c r="N370">
        <v>7</v>
      </c>
      <c r="O370">
        <v>1</v>
      </c>
      <c r="P370" t="s">
        <v>7</v>
      </c>
    </row>
    <row r="371" spans="1:16">
      <c r="A371" t="s">
        <v>1021</v>
      </c>
      <c r="B371" t="s">
        <v>962</v>
      </c>
      <c r="C371">
        <v>2E-3</v>
      </c>
      <c r="D371" t="s">
        <v>758</v>
      </c>
      <c r="E371" t="s">
        <v>977</v>
      </c>
      <c r="F371" t="s">
        <v>975</v>
      </c>
      <c r="G371" t="s">
        <v>962</v>
      </c>
      <c r="H371">
        <v>1.986</v>
      </c>
      <c r="J371">
        <v>105149399</v>
      </c>
      <c r="K371" s="2">
        <v>42902</v>
      </c>
      <c r="L371">
        <v>21</v>
      </c>
      <c r="M371">
        <v>1</v>
      </c>
      <c r="N371">
        <v>0</v>
      </c>
      <c r="O371">
        <v>1</v>
      </c>
      <c r="P371" t="s">
        <v>3</v>
      </c>
    </row>
    <row r="372" spans="1:16">
      <c r="A372" t="s">
        <v>1021</v>
      </c>
      <c r="B372" t="s">
        <v>965</v>
      </c>
      <c r="C372">
        <v>0</v>
      </c>
      <c r="D372" t="s">
        <v>756</v>
      </c>
      <c r="E372" t="s">
        <v>1032</v>
      </c>
      <c r="F372" t="s">
        <v>1033</v>
      </c>
      <c r="G372" t="s">
        <v>961</v>
      </c>
      <c r="H372">
        <v>1.843</v>
      </c>
      <c r="J372">
        <v>105107757</v>
      </c>
      <c r="K372" s="2">
        <v>42863</v>
      </c>
      <c r="L372">
        <v>30</v>
      </c>
      <c r="M372">
        <v>1</v>
      </c>
      <c r="N372">
        <v>7</v>
      </c>
      <c r="O372">
        <v>1</v>
      </c>
      <c r="P372" t="s">
        <v>7</v>
      </c>
    </row>
    <row r="373" spans="1:16">
      <c r="A373" t="s">
        <v>1021</v>
      </c>
      <c r="B373" t="s">
        <v>965</v>
      </c>
      <c r="C373">
        <v>0</v>
      </c>
      <c r="E373" t="s">
        <v>968</v>
      </c>
      <c r="F373" t="s">
        <v>977</v>
      </c>
      <c r="G373" t="s">
        <v>962</v>
      </c>
      <c r="H373">
        <v>2.1920000000000002</v>
      </c>
      <c r="J373">
        <v>105107771</v>
      </c>
      <c r="K373" s="2">
        <v>42854</v>
      </c>
      <c r="L373">
        <v>21</v>
      </c>
      <c r="M373">
        <v>1</v>
      </c>
      <c r="N373">
        <v>7</v>
      </c>
      <c r="O373">
        <v>1</v>
      </c>
      <c r="P373" t="s">
        <v>7</v>
      </c>
    </row>
    <row r="374" spans="1:16">
      <c r="A374" t="s">
        <v>1021</v>
      </c>
      <c r="B374" t="s">
        <v>968</v>
      </c>
      <c r="C374">
        <v>0</v>
      </c>
      <c r="E374" t="s">
        <v>962</v>
      </c>
      <c r="F374" t="s">
        <v>1024</v>
      </c>
      <c r="G374" t="s">
        <v>968</v>
      </c>
      <c r="H374">
        <v>7.75</v>
      </c>
      <c r="J374">
        <v>107257245</v>
      </c>
      <c r="K374" s="2">
        <v>44985</v>
      </c>
      <c r="L374">
        <v>24</v>
      </c>
      <c r="M374">
        <v>1</v>
      </c>
      <c r="N374">
        <v>7</v>
      </c>
      <c r="O374">
        <v>1</v>
      </c>
      <c r="P374" t="s">
        <v>7</v>
      </c>
    </row>
    <row r="375" spans="1:16">
      <c r="A375" t="s">
        <v>1021</v>
      </c>
      <c r="B375" t="s">
        <v>979</v>
      </c>
      <c r="C375">
        <v>0</v>
      </c>
      <c r="E375" t="s">
        <v>965</v>
      </c>
      <c r="F375" t="s">
        <v>1092</v>
      </c>
      <c r="G375" t="s">
        <v>979</v>
      </c>
      <c r="H375">
        <v>9.6630000000000003</v>
      </c>
      <c r="J375">
        <v>105091228</v>
      </c>
      <c r="K375" s="2">
        <v>42846</v>
      </c>
      <c r="L375">
        <v>28</v>
      </c>
      <c r="M375">
        <v>1</v>
      </c>
      <c r="N375">
        <v>0</v>
      </c>
      <c r="O375">
        <v>1</v>
      </c>
      <c r="P375" t="s">
        <v>7</v>
      </c>
    </row>
    <row r="376" spans="1:16">
      <c r="A376" t="s">
        <v>1021</v>
      </c>
      <c r="B376" t="s">
        <v>965</v>
      </c>
      <c r="C376">
        <v>0</v>
      </c>
      <c r="E376" t="s">
        <v>1033</v>
      </c>
      <c r="F376" t="s">
        <v>1032</v>
      </c>
      <c r="G376" t="s">
        <v>961</v>
      </c>
      <c r="H376">
        <v>1.893</v>
      </c>
      <c r="J376">
        <v>105056723</v>
      </c>
      <c r="K376" s="2">
        <v>42810</v>
      </c>
      <c r="L376">
        <v>30</v>
      </c>
      <c r="M376">
        <v>1</v>
      </c>
      <c r="N376">
        <v>7</v>
      </c>
      <c r="O376">
        <v>1</v>
      </c>
      <c r="P376" t="s">
        <v>7</v>
      </c>
    </row>
    <row r="377" spans="1:16">
      <c r="A377" t="s">
        <v>1021</v>
      </c>
      <c r="B377" t="s">
        <v>965</v>
      </c>
      <c r="C377">
        <v>0.02</v>
      </c>
      <c r="D377" t="s">
        <v>756</v>
      </c>
      <c r="E377" t="s">
        <v>968</v>
      </c>
      <c r="F377" t="s">
        <v>967</v>
      </c>
      <c r="G377" t="s">
        <v>961</v>
      </c>
      <c r="H377">
        <v>0.02</v>
      </c>
      <c r="J377">
        <v>105075626</v>
      </c>
      <c r="K377" s="2">
        <v>42826</v>
      </c>
      <c r="L377">
        <v>30</v>
      </c>
      <c r="M377">
        <v>1</v>
      </c>
      <c r="N377">
        <v>8</v>
      </c>
      <c r="O377">
        <v>1</v>
      </c>
      <c r="P377" t="s">
        <v>7</v>
      </c>
    </row>
    <row r="378" spans="1:16">
      <c r="A378" t="s">
        <v>1021</v>
      </c>
      <c r="B378" t="s">
        <v>965</v>
      </c>
      <c r="C378">
        <v>0</v>
      </c>
      <c r="E378" t="s">
        <v>977</v>
      </c>
      <c r="F378" t="s">
        <v>968</v>
      </c>
      <c r="G378" t="s">
        <v>962</v>
      </c>
      <c r="H378">
        <v>1.988</v>
      </c>
      <c r="J378">
        <v>105155943</v>
      </c>
      <c r="K378" s="2">
        <v>42923</v>
      </c>
      <c r="L378">
        <v>24</v>
      </c>
      <c r="M378">
        <v>1</v>
      </c>
      <c r="N378">
        <v>8</v>
      </c>
      <c r="O378">
        <v>1</v>
      </c>
      <c r="P378" t="s">
        <v>3</v>
      </c>
    </row>
    <row r="379" spans="1:16">
      <c r="A379" t="s">
        <v>1021</v>
      </c>
      <c r="B379" t="s">
        <v>1093</v>
      </c>
      <c r="C379">
        <v>2E-3</v>
      </c>
      <c r="D379" t="s">
        <v>756</v>
      </c>
      <c r="E379" t="s">
        <v>967</v>
      </c>
      <c r="F379" t="s">
        <v>968</v>
      </c>
      <c r="H379">
        <v>999.99900000000002</v>
      </c>
      <c r="J379">
        <v>105028150</v>
      </c>
      <c r="K379" s="2">
        <v>42767</v>
      </c>
      <c r="L379">
        <v>21</v>
      </c>
      <c r="M379">
        <v>1</v>
      </c>
      <c r="N379">
        <v>8</v>
      </c>
      <c r="O379">
        <v>4</v>
      </c>
      <c r="P379" t="s">
        <v>3</v>
      </c>
    </row>
    <row r="380" spans="1:16">
      <c r="A380" t="s">
        <v>1021</v>
      </c>
      <c r="B380" t="s">
        <v>1057</v>
      </c>
      <c r="C380">
        <v>8.0000000000000002E-3</v>
      </c>
      <c r="D380" t="s">
        <v>756</v>
      </c>
      <c r="E380" t="s">
        <v>967</v>
      </c>
      <c r="F380" t="s">
        <v>965</v>
      </c>
      <c r="H380">
        <v>999.99900000000002</v>
      </c>
      <c r="J380">
        <v>105056691</v>
      </c>
      <c r="K380" s="2">
        <v>42819</v>
      </c>
      <c r="L380">
        <v>30</v>
      </c>
      <c r="M380">
        <v>1</v>
      </c>
      <c r="N380">
        <v>4</v>
      </c>
      <c r="O380">
        <v>4</v>
      </c>
      <c r="P380" t="s">
        <v>7</v>
      </c>
    </row>
    <row r="381" spans="1:16">
      <c r="A381" t="s">
        <v>1021</v>
      </c>
      <c r="B381" t="s">
        <v>964</v>
      </c>
      <c r="C381">
        <v>8.9999999999999993E-3</v>
      </c>
      <c r="D381" t="s">
        <v>758</v>
      </c>
      <c r="E381" t="s">
        <v>966</v>
      </c>
      <c r="F381" t="s">
        <v>967</v>
      </c>
      <c r="G381" t="s">
        <v>960</v>
      </c>
      <c r="H381">
        <v>0.71799999999999997</v>
      </c>
      <c r="J381">
        <v>105329577</v>
      </c>
      <c r="K381" s="2">
        <v>43071</v>
      </c>
      <c r="L381">
        <v>1</v>
      </c>
      <c r="M381">
        <v>2</v>
      </c>
      <c r="N381">
        <v>10</v>
      </c>
      <c r="O381">
        <v>1</v>
      </c>
      <c r="P381" t="s">
        <v>7</v>
      </c>
    </row>
    <row r="382" spans="1:16">
      <c r="A382" t="s">
        <v>1021</v>
      </c>
      <c r="B382" t="s">
        <v>965</v>
      </c>
      <c r="C382">
        <v>0</v>
      </c>
      <c r="E382" t="s">
        <v>968</v>
      </c>
      <c r="F382" t="s">
        <v>967</v>
      </c>
      <c r="G382" t="s">
        <v>962</v>
      </c>
      <c r="H382">
        <v>2.1920000000000002</v>
      </c>
      <c r="J382">
        <v>105591487</v>
      </c>
      <c r="K382" s="2">
        <v>43343</v>
      </c>
      <c r="L382">
        <v>29</v>
      </c>
      <c r="M382">
        <v>1</v>
      </c>
      <c r="N382">
        <v>7</v>
      </c>
      <c r="O382">
        <v>1</v>
      </c>
      <c r="P382" t="s">
        <v>7</v>
      </c>
    </row>
    <row r="383" spans="1:16">
      <c r="A383" t="s">
        <v>1021</v>
      </c>
      <c r="B383" t="s">
        <v>968</v>
      </c>
      <c r="C383">
        <v>0</v>
      </c>
      <c r="E383" t="s">
        <v>965</v>
      </c>
      <c r="F383" t="s">
        <v>1037</v>
      </c>
      <c r="G383" t="s">
        <v>968</v>
      </c>
      <c r="H383">
        <v>7.75</v>
      </c>
      <c r="J383">
        <v>105630128</v>
      </c>
      <c r="K383" s="2">
        <v>43361</v>
      </c>
      <c r="L383">
        <v>30</v>
      </c>
      <c r="M383">
        <v>1</v>
      </c>
      <c r="N383">
        <v>7</v>
      </c>
      <c r="O383">
        <v>2</v>
      </c>
      <c r="P383" t="s">
        <v>7</v>
      </c>
    </row>
    <row r="384" spans="1:16">
      <c r="A384" t="s">
        <v>1021</v>
      </c>
      <c r="B384" t="s">
        <v>1087</v>
      </c>
      <c r="C384">
        <v>0</v>
      </c>
      <c r="D384" t="s">
        <v>763</v>
      </c>
      <c r="E384" t="s">
        <v>966</v>
      </c>
      <c r="F384" t="s">
        <v>1050</v>
      </c>
      <c r="H384">
        <v>999.99900000000002</v>
      </c>
      <c r="J384">
        <v>105465442</v>
      </c>
      <c r="K384" s="2">
        <v>43207</v>
      </c>
      <c r="L384">
        <v>30</v>
      </c>
      <c r="M384">
        <v>1</v>
      </c>
      <c r="N384">
        <v>8</v>
      </c>
      <c r="O384">
        <v>1</v>
      </c>
      <c r="P384" t="s">
        <v>7</v>
      </c>
    </row>
    <row r="385" spans="1:16">
      <c r="A385" t="s">
        <v>1021</v>
      </c>
      <c r="B385" t="s">
        <v>965</v>
      </c>
      <c r="C385">
        <v>8.9999999999999993E-3</v>
      </c>
      <c r="D385" t="s">
        <v>758</v>
      </c>
      <c r="E385" t="s">
        <v>1032</v>
      </c>
      <c r="F385" t="s">
        <v>1033</v>
      </c>
      <c r="G385" t="s">
        <v>961</v>
      </c>
      <c r="H385">
        <v>1.8340000000000001</v>
      </c>
      <c r="J385">
        <v>105589781</v>
      </c>
      <c r="K385" s="2">
        <v>43336</v>
      </c>
      <c r="L385">
        <v>30</v>
      </c>
      <c r="M385">
        <v>1</v>
      </c>
      <c r="N385">
        <v>0</v>
      </c>
      <c r="O385">
        <v>1</v>
      </c>
      <c r="P385" t="s">
        <v>7</v>
      </c>
    </row>
    <row r="386" spans="1:16">
      <c r="A386" t="s">
        <v>1021</v>
      </c>
      <c r="B386" t="s">
        <v>965</v>
      </c>
      <c r="C386">
        <v>1.0999999999999999E-2</v>
      </c>
      <c r="D386" t="s">
        <v>756</v>
      </c>
      <c r="E386" t="s">
        <v>963</v>
      </c>
      <c r="F386" t="s">
        <v>1020</v>
      </c>
      <c r="G386" t="s">
        <v>961</v>
      </c>
      <c r="H386">
        <v>0.222</v>
      </c>
      <c r="J386">
        <v>105611574</v>
      </c>
      <c r="K386" s="2">
        <v>43352</v>
      </c>
      <c r="L386">
        <v>1</v>
      </c>
      <c r="M386">
        <v>2</v>
      </c>
      <c r="N386">
        <v>0</v>
      </c>
      <c r="O386">
        <v>5</v>
      </c>
      <c r="P386" t="s">
        <v>7</v>
      </c>
    </row>
    <row r="387" spans="1:16">
      <c r="A387" t="s">
        <v>1021</v>
      </c>
      <c r="B387" t="s">
        <v>965</v>
      </c>
      <c r="C387">
        <v>0</v>
      </c>
      <c r="E387" t="s">
        <v>979</v>
      </c>
      <c r="F387" t="s">
        <v>1054</v>
      </c>
      <c r="G387" t="s">
        <v>961</v>
      </c>
      <c r="H387">
        <v>1.5960000000000001</v>
      </c>
      <c r="J387">
        <v>105611575</v>
      </c>
      <c r="K387" s="2">
        <v>43354</v>
      </c>
      <c r="L387">
        <v>21</v>
      </c>
      <c r="M387">
        <v>2</v>
      </c>
      <c r="N387">
        <v>2</v>
      </c>
      <c r="O387">
        <v>4</v>
      </c>
      <c r="P387" t="s">
        <v>3</v>
      </c>
    </row>
    <row r="388" spans="1:16">
      <c r="A388" t="s">
        <v>1021</v>
      </c>
      <c r="B388" t="s">
        <v>965</v>
      </c>
      <c r="C388">
        <v>0.2</v>
      </c>
      <c r="D388" t="s">
        <v>756</v>
      </c>
      <c r="E388" t="s">
        <v>1039</v>
      </c>
      <c r="F388" t="s">
        <v>1094</v>
      </c>
      <c r="G388" t="s">
        <v>961</v>
      </c>
      <c r="H388">
        <v>1.0389999999999999</v>
      </c>
      <c r="J388">
        <v>105589786</v>
      </c>
      <c r="K388" s="2">
        <v>43329</v>
      </c>
      <c r="L388">
        <v>17</v>
      </c>
      <c r="M388">
        <v>1</v>
      </c>
      <c r="N388">
        <v>0</v>
      </c>
      <c r="O388">
        <v>1</v>
      </c>
      <c r="P388" t="s">
        <v>7</v>
      </c>
    </row>
    <row r="389" spans="1:16">
      <c r="A389" t="s">
        <v>1021</v>
      </c>
      <c r="B389" t="s">
        <v>965</v>
      </c>
      <c r="C389">
        <v>0</v>
      </c>
      <c r="E389" t="s">
        <v>1023</v>
      </c>
      <c r="F389" t="s">
        <v>1056</v>
      </c>
      <c r="G389" t="s">
        <v>961</v>
      </c>
      <c r="H389">
        <v>0.66500000000000004</v>
      </c>
      <c r="J389">
        <v>105277907</v>
      </c>
      <c r="K389" s="2">
        <v>43036</v>
      </c>
      <c r="L389">
        <v>30</v>
      </c>
      <c r="M389">
        <v>1</v>
      </c>
      <c r="N389">
        <v>7</v>
      </c>
      <c r="O389">
        <v>5</v>
      </c>
      <c r="P389" t="s">
        <v>7</v>
      </c>
    </row>
    <row r="390" spans="1:16">
      <c r="A390" t="s">
        <v>1021</v>
      </c>
      <c r="B390" t="s">
        <v>965</v>
      </c>
      <c r="C390">
        <v>0</v>
      </c>
      <c r="E390" t="s">
        <v>1064</v>
      </c>
      <c r="F390" t="s">
        <v>1056</v>
      </c>
      <c r="G390" t="s">
        <v>961</v>
      </c>
      <c r="H390">
        <v>1.405</v>
      </c>
      <c r="J390">
        <v>105612308</v>
      </c>
      <c r="K390" s="2">
        <v>43347</v>
      </c>
      <c r="L390">
        <v>21</v>
      </c>
      <c r="M390">
        <v>1</v>
      </c>
      <c r="N390">
        <v>7</v>
      </c>
      <c r="O390">
        <v>1</v>
      </c>
      <c r="P390" t="s">
        <v>3</v>
      </c>
    </row>
    <row r="391" spans="1:16">
      <c r="A391" t="s">
        <v>1021</v>
      </c>
      <c r="B391" t="s">
        <v>966</v>
      </c>
      <c r="C391">
        <v>0.39</v>
      </c>
      <c r="D391" t="s">
        <v>6</v>
      </c>
      <c r="E391" t="s">
        <v>1028</v>
      </c>
      <c r="F391" t="s">
        <v>964</v>
      </c>
      <c r="H391">
        <v>999.99900000000002</v>
      </c>
      <c r="J391">
        <v>105445151</v>
      </c>
      <c r="K391" s="2">
        <v>43181</v>
      </c>
      <c r="L391">
        <v>1</v>
      </c>
      <c r="M391">
        <v>1</v>
      </c>
      <c r="N391">
        <v>0</v>
      </c>
      <c r="O391">
        <v>5</v>
      </c>
      <c r="P391" t="s">
        <v>7</v>
      </c>
    </row>
    <row r="392" spans="1:16">
      <c r="A392" t="s">
        <v>1021</v>
      </c>
      <c r="B392" t="s">
        <v>968</v>
      </c>
      <c r="C392">
        <v>0</v>
      </c>
      <c r="E392" t="s">
        <v>962</v>
      </c>
      <c r="F392" t="s">
        <v>969</v>
      </c>
      <c r="G392" t="s">
        <v>968</v>
      </c>
      <c r="H392">
        <v>7.75</v>
      </c>
      <c r="J392">
        <v>105536837</v>
      </c>
      <c r="K392" s="2">
        <v>43288</v>
      </c>
      <c r="L392">
        <v>21</v>
      </c>
      <c r="M392">
        <v>2</v>
      </c>
      <c r="N392">
        <v>0</v>
      </c>
      <c r="O392">
        <v>1</v>
      </c>
      <c r="P392" t="s">
        <v>3</v>
      </c>
    </row>
    <row r="393" spans="1:16">
      <c r="A393" t="s">
        <v>1021</v>
      </c>
      <c r="B393" t="s">
        <v>965</v>
      </c>
      <c r="C393">
        <v>5.0000000000000001E-3</v>
      </c>
      <c r="D393" t="s">
        <v>758</v>
      </c>
      <c r="E393" t="s">
        <v>1064</v>
      </c>
      <c r="F393" t="s">
        <v>1056</v>
      </c>
      <c r="G393" t="s">
        <v>961</v>
      </c>
      <c r="H393">
        <v>1.4</v>
      </c>
      <c r="J393">
        <v>105532240</v>
      </c>
      <c r="K393" s="2">
        <v>43270</v>
      </c>
      <c r="L393">
        <v>19</v>
      </c>
      <c r="M393">
        <v>1</v>
      </c>
      <c r="N393">
        <v>0</v>
      </c>
      <c r="O393">
        <v>1</v>
      </c>
      <c r="P393" t="s">
        <v>8</v>
      </c>
    </row>
    <row r="394" spans="1:16">
      <c r="A394" t="s">
        <v>1021</v>
      </c>
      <c r="B394" t="s">
        <v>965</v>
      </c>
      <c r="C394">
        <v>0</v>
      </c>
      <c r="D394" t="s">
        <v>756</v>
      </c>
      <c r="E394" t="s">
        <v>1023</v>
      </c>
      <c r="F394" t="s">
        <v>1064</v>
      </c>
      <c r="G394" t="s">
        <v>961</v>
      </c>
      <c r="H394">
        <v>0.66500000000000004</v>
      </c>
      <c r="J394">
        <v>105514658</v>
      </c>
      <c r="K394" s="2">
        <v>43263</v>
      </c>
      <c r="L394">
        <v>30</v>
      </c>
      <c r="M394">
        <v>1</v>
      </c>
      <c r="N394">
        <v>7</v>
      </c>
      <c r="O394">
        <v>1</v>
      </c>
      <c r="P394" t="s">
        <v>8</v>
      </c>
    </row>
    <row r="395" spans="1:16">
      <c r="A395" t="s">
        <v>1021</v>
      </c>
      <c r="B395" t="s">
        <v>965</v>
      </c>
      <c r="C395">
        <v>0</v>
      </c>
      <c r="E395" t="s">
        <v>1095</v>
      </c>
      <c r="F395" t="s">
        <v>965</v>
      </c>
      <c r="H395">
        <v>999.99900000000002</v>
      </c>
      <c r="J395">
        <v>105544125</v>
      </c>
      <c r="K395" s="2">
        <v>43294</v>
      </c>
      <c r="L395">
        <v>23</v>
      </c>
      <c r="M395">
        <v>1</v>
      </c>
      <c r="N395">
        <v>7</v>
      </c>
      <c r="O395">
        <v>4</v>
      </c>
      <c r="P395" t="s">
        <v>7</v>
      </c>
    </row>
    <row r="396" spans="1:16">
      <c r="A396" t="s">
        <v>1021</v>
      </c>
      <c r="B396" t="s">
        <v>979</v>
      </c>
      <c r="C396">
        <v>0</v>
      </c>
      <c r="E396" t="s">
        <v>965</v>
      </c>
      <c r="F396" t="s">
        <v>1051</v>
      </c>
      <c r="G396" t="s">
        <v>979</v>
      </c>
      <c r="H396">
        <v>9.6630000000000003</v>
      </c>
      <c r="J396">
        <v>105432179</v>
      </c>
      <c r="K396" s="2">
        <v>43164</v>
      </c>
      <c r="L396">
        <v>28</v>
      </c>
      <c r="M396">
        <v>1</v>
      </c>
      <c r="N396">
        <v>0</v>
      </c>
      <c r="O396">
        <v>1</v>
      </c>
      <c r="P396" t="s">
        <v>7</v>
      </c>
    </row>
    <row r="397" spans="1:16">
      <c r="A397" t="s">
        <v>754</v>
      </c>
      <c r="B397" t="s">
        <v>962</v>
      </c>
      <c r="C397">
        <v>0</v>
      </c>
      <c r="E397" t="s">
        <v>1016</v>
      </c>
      <c r="F397" t="s">
        <v>968</v>
      </c>
      <c r="H397">
        <v>999.99900000000002</v>
      </c>
      <c r="J397">
        <v>107028909</v>
      </c>
      <c r="K397" s="2">
        <v>44769</v>
      </c>
      <c r="L397">
        <v>21</v>
      </c>
      <c r="M397">
        <v>1</v>
      </c>
      <c r="N397">
        <v>8</v>
      </c>
      <c r="O397">
        <v>1</v>
      </c>
      <c r="P397" t="s">
        <v>7</v>
      </c>
    </row>
    <row r="398" spans="1:16">
      <c r="A398" t="s">
        <v>1021</v>
      </c>
      <c r="B398" t="s">
        <v>968</v>
      </c>
      <c r="C398">
        <v>1.9E-2</v>
      </c>
      <c r="D398" t="s">
        <v>765</v>
      </c>
      <c r="E398" t="s">
        <v>965</v>
      </c>
      <c r="F398" t="s">
        <v>1072</v>
      </c>
      <c r="G398" t="s">
        <v>968</v>
      </c>
      <c r="H398">
        <v>7.7690000000000001</v>
      </c>
      <c r="J398">
        <v>107870047</v>
      </c>
      <c r="K398" s="2">
        <v>45568</v>
      </c>
      <c r="L398">
        <v>28</v>
      </c>
      <c r="M398">
        <v>1</v>
      </c>
      <c r="N398">
        <v>0</v>
      </c>
      <c r="O398">
        <v>1</v>
      </c>
      <c r="P398" t="s">
        <v>7</v>
      </c>
    </row>
    <row r="399" spans="1:16">
      <c r="A399" t="s">
        <v>1021</v>
      </c>
      <c r="B399" t="s">
        <v>1026</v>
      </c>
      <c r="C399">
        <v>2.8000000000000001E-2</v>
      </c>
      <c r="D399" t="s">
        <v>764</v>
      </c>
      <c r="E399" t="s">
        <v>965</v>
      </c>
      <c r="F399" t="s">
        <v>1096</v>
      </c>
      <c r="G399" t="s">
        <v>1036</v>
      </c>
      <c r="H399">
        <v>0.67100000000000004</v>
      </c>
      <c r="J399">
        <v>105445148</v>
      </c>
      <c r="K399" s="2">
        <v>43179</v>
      </c>
      <c r="L399">
        <v>19</v>
      </c>
      <c r="M399">
        <v>2</v>
      </c>
      <c r="N399">
        <v>0</v>
      </c>
      <c r="O399">
        <v>5</v>
      </c>
      <c r="P399" t="s">
        <v>7</v>
      </c>
    </row>
    <row r="400" spans="1:16">
      <c r="A400" t="s">
        <v>1021</v>
      </c>
      <c r="B400" t="s">
        <v>1067</v>
      </c>
      <c r="C400">
        <v>0</v>
      </c>
      <c r="E400" t="s">
        <v>965</v>
      </c>
      <c r="G400" t="s">
        <v>965</v>
      </c>
      <c r="H400">
        <v>999.99900000000002</v>
      </c>
      <c r="J400">
        <v>105445166</v>
      </c>
      <c r="K400" s="2">
        <v>43188</v>
      </c>
      <c r="L400">
        <v>27</v>
      </c>
      <c r="M400">
        <v>1</v>
      </c>
      <c r="O400">
        <v>4</v>
      </c>
      <c r="P400" t="s">
        <v>7</v>
      </c>
    </row>
    <row r="401" spans="1:16">
      <c r="A401" t="s">
        <v>1021</v>
      </c>
      <c r="B401" t="s">
        <v>968</v>
      </c>
      <c r="C401">
        <v>0</v>
      </c>
      <c r="E401" t="s">
        <v>962</v>
      </c>
      <c r="F401" t="s">
        <v>969</v>
      </c>
      <c r="G401" t="s">
        <v>968</v>
      </c>
      <c r="H401">
        <v>7.75</v>
      </c>
      <c r="J401">
        <v>105553961</v>
      </c>
      <c r="K401" s="2">
        <v>43305</v>
      </c>
      <c r="L401">
        <v>21</v>
      </c>
      <c r="M401">
        <v>2</v>
      </c>
      <c r="N401">
        <v>0</v>
      </c>
      <c r="O401">
        <v>1</v>
      </c>
      <c r="P401" t="s">
        <v>7</v>
      </c>
    </row>
    <row r="402" spans="1:16">
      <c r="A402" t="s">
        <v>1021</v>
      </c>
      <c r="B402" t="s">
        <v>1052</v>
      </c>
      <c r="C402">
        <v>1.0999999999999999E-2</v>
      </c>
      <c r="D402" t="s">
        <v>757</v>
      </c>
      <c r="E402" t="s">
        <v>965</v>
      </c>
      <c r="F402" t="s">
        <v>1053</v>
      </c>
      <c r="H402">
        <v>999.99900000000002</v>
      </c>
      <c r="J402">
        <v>105372615</v>
      </c>
      <c r="K402" s="2">
        <v>43103</v>
      </c>
      <c r="L402">
        <v>30</v>
      </c>
      <c r="M402">
        <v>4</v>
      </c>
      <c r="N402">
        <v>8</v>
      </c>
      <c r="O402">
        <v>5</v>
      </c>
      <c r="P402" t="s">
        <v>7</v>
      </c>
    </row>
    <row r="403" spans="1:16">
      <c r="A403" t="s">
        <v>1021</v>
      </c>
      <c r="B403" t="s">
        <v>979</v>
      </c>
      <c r="C403">
        <v>0</v>
      </c>
      <c r="E403" t="s">
        <v>965</v>
      </c>
      <c r="F403" t="s">
        <v>1071</v>
      </c>
      <c r="G403" t="s">
        <v>979</v>
      </c>
      <c r="H403">
        <v>9.6630000000000003</v>
      </c>
      <c r="J403">
        <v>105372647</v>
      </c>
      <c r="K403" s="2">
        <v>43106</v>
      </c>
      <c r="L403">
        <v>1</v>
      </c>
      <c r="M403">
        <v>4</v>
      </c>
      <c r="N403">
        <v>16</v>
      </c>
      <c r="O403">
        <v>1</v>
      </c>
      <c r="P403" t="s">
        <v>7</v>
      </c>
    </row>
    <row r="404" spans="1:16">
      <c r="A404" t="s">
        <v>1021</v>
      </c>
      <c r="B404" t="s">
        <v>965</v>
      </c>
      <c r="C404">
        <v>0</v>
      </c>
      <c r="D404" t="s">
        <v>758</v>
      </c>
      <c r="E404" t="s">
        <v>967</v>
      </c>
      <c r="F404" t="s">
        <v>968</v>
      </c>
      <c r="G404" t="s">
        <v>961</v>
      </c>
      <c r="H404">
        <v>0.21099999999999999</v>
      </c>
      <c r="J404">
        <v>105465438</v>
      </c>
      <c r="K404" s="2">
        <v>43209</v>
      </c>
      <c r="L404">
        <v>21</v>
      </c>
      <c r="M404">
        <v>1</v>
      </c>
      <c r="N404">
        <v>0</v>
      </c>
      <c r="O404">
        <v>1</v>
      </c>
      <c r="P404" t="s">
        <v>7</v>
      </c>
    </row>
    <row r="405" spans="1:16">
      <c r="A405" t="s">
        <v>1021</v>
      </c>
      <c r="B405" t="s">
        <v>965</v>
      </c>
      <c r="C405">
        <v>0.1</v>
      </c>
      <c r="D405" t="s">
        <v>758</v>
      </c>
      <c r="E405" t="s">
        <v>967</v>
      </c>
      <c r="F405" t="s">
        <v>1082</v>
      </c>
      <c r="G405" t="s">
        <v>961</v>
      </c>
      <c r="H405">
        <v>0.111</v>
      </c>
      <c r="J405">
        <v>105532282</v>
      </c>
      <c r="K405" s="2">
        <v>43266</v>
      </c>
      <c r="L405">
        <v>30</v>
      </c>
      <c r="M405">
        <v>1</v>
      </c>
      <c r="N405">
        <v>8</v>
      </c>
      <c r="O405">
        <v>1</v>
      </c>
      <c r="P405" t="s">
        <v>3</v>
      </c>
    </row>
    <row r="406" spans="1:16">
      <c r="A406" t="s">
        <v>1021</v>
      </c>
      <c r="B406" t="s">
        <v>968</v>
      </c>
      <c r="C406">
        <v>0</v>
      </c>
      <c r="E406" t="s">
        <v>964</v>
      </c>
      <c r="F406" t="s">
        <v>1023</v>
      </c>
      <c r="G406" t="s">
        <v>968</v>
      </c>
      <c r="H406">
        <v>8.1210000000000004</v>
      </c>
      <c r="J406">
        <v>105445136</v>
      </c>
      <c r="K406" s="2">
        <v>43172</v>
      </c>
      <c r="L406">
        <v>21</v>
      </c>
      <c r="M406">
        <v>1</v>
      </c>
      <c r="N406">
        <v>7</v>
      </c>
      <c r="O406">
        <v>4</v>
      </c>
      <c r="P406" t="s">
        <v>7</v>
      </c>
    </row>
    <row r="407" spans="1:16">
      <c r="A407" t="s">
        <v>1021</v>
      </c>
      <c r="B407" t="s">
        <v>1032</v>
      </c>
      <c r="C407">
        <v>0</v>
      </c>
      <c r="E407" t="s">
        <v>965</v>
      </c>
      <c r="F407" t="s">
        <v>1040</v>
      </c>
      <c r="G407" t="s">
        <v>1032</v>
      </c>
      <c r="H407">
        <v>0.12</v>
      </c>
      <c r="J407">
        <v>105432180</v>
      </c>
      <c r="K407" s="2">
        <v>43163</v>
      </c>
      <c r="L407">
        <v>30</v>
      </c>
      <c r="M407">
        <v>1</v>
      </c>
      <c r="N407">
        <v>7</v>
      </c>
      <c r="O407">
        <v>1</v>
      </c>
      <c r="P407" t="s">
        <v>7</v>
      </c>
    </row>
    <row r="408" spans="1:16">
      <c r="A408" t="s">
        <v>1021</v>
      </c>
      <c r="B408" t="s">
        <v>965</v>
      </c>
      <c r="C408">
        <v>0.1</v>
      </c>
      <c r="D408" t="s">
        <v>758</v>
      </c>
      <c r="E408" t="s">
        <v>967</v>
      </c>
      <c r="F408" t="s">
        <v>968</v>
      </c>
      <c r="G408" t="s">
        <v>961</v>
      </c>
      <c r="H408">
        <v>0.111</v>
      </c>
      <c r="J408">
        <v>105432181</v>
      </c>
      <c r="K408" s="2">
        <v>43168</v>
      </c>
      <c r="L408">
        <v>30</v>
      </c>
      <c r="M408">
        <v>1</v>
      </c>
      <c r="N408">
        <v>8</v>
      </c>
      <c r="O408">
        <v>1</v>
      </c>
      <c r="P408" t="s">
        <v>7</v>
      </c>
    </row>
    <row r="409" spans="1:16">
      <c r="A409" t="s">
        <v>1021</v>
      </c>
      <c r="B409" t="s">
        <v>968</v>
      </c>
      <c r="C409">
        <v>0</v>
      </c>
      <c r="E409" t="s">
        <v>964</v>
      </c>
      <c r="F409" t="s">
        <v>1072</v>
      </c>
      <c r="G409" t="s">
        <v>968</v>
      </c>
      <c r="H409">
        <v>8.1210000000000004</v>
      </c>
      <c r="J409">
        <v>105445138</v>
      </c>
      <c r="K409" s="2">
        <v>43172</v>
      </c>
      <c r="L409">
        <v>30</v>
      </c>
      <c r="M409">
        <v>1</v>
      </c>
      <c r="N409">
        <v>7</v>
      </c>
      <c r="O409">
        <v>1</v>
      </c>
      <c r="P409" t="s">
        <v>7</v>
      </c>
    </row>
    <row r="410" spans="1:16">
      <c r="A410" t="s">
        <v>1021</v>
      </c>
      <c r="B410" t="s">
        <v>965</v>
      </c>
      <c r="C410">
        <v>8.2000000000000003E-2</v>
      </c>
      <c r="D410" t="s">
        <v>758</v>
      </c>
      <c r="E410" t="s">
        <v>1097</v>
      </c>
      <c r="G410" t="s">
        <v>1063</v>
      </c>
      <c r="H410">
        <v>8.2000000000000003E-2</v>
      </c>
      <c r="J410">
        <v>107436572</v>
      </c>
      <c r="K410" s="2">
        <v>45166</v>
      </c>
      <c r="L410">
        <v>29</v>
      </c>
      <c r="M410">
        <v>1</v>
      </c>
      <c r="N410">
        <v>0</v>
      </c>
      <c r="O410">
        <v>1</v>
      </c>
      <c r="P410" t="s">
        <v>7</v>
      </c>
    </row>
    <row r="411" spans="1:16">
      <c r="A411" t="s">
        <v>1021</v>
      </c>
      <c r="B411" t="s">
        <v>964</v>
      </c>
      <c r="C411">
        <v>0.114</v>
      </c>
      <c r="D411" t="s">
        <v>764</v>
      </c>
      <c r="E411" t="s">
        <v>968</v>
      </c>
      <c r="F411" t="s">
        <v>967</v>
      </c>
      <c r="G411" t="s">
        <v>960</v>
      </c>
      <c r="H411">
        <v>0.114</v>
      </c>
      <c r="J411">
        <v>105472361</v>
      </c>
      <c r="K411" s="2">
        <v>43215</v>
      </c>
      <c r="L411">
        <v>21</v>
      </c>
      <c r="M411">
        <v>1</v>
      </c>
      <c r="N411">
        <v>4</v>
      </c>
      <c r="O411">
        <v>1</v>
      </c>
      <c r="P411" t="s">
        <v>7</v>
      </c>
    </row>
    <row r="412" spans="1:16">
      <c r="A412" t="s">
        <v>1021</v>
      </c>
      <c r="B412" t="s">
        <v>965</v>
      </c>
      <c r="C412">
        <v>3.6999999999999998E-2</v>
      </c>
      <c r="D412" t="s">
        <v>756</v>
      </c>
      <c r="E412" t="s">
        <v>1052</v>
      </c>
      <c r="F412" t="s">
        <v>979</v>
      </c>
      <c r="G412" t="s">
        <v>961</v>
      </c>
      <c r="H412">
        <v>1.468</v>
      </c>
      <c r="J412">
        <v>105532234</v>
      </c>
      <c r="K412" s="2">
        <v>43264</v>
      </c>
      <c r="L412">
        <v>21</v>
      </c>
      <c r="M412">
        <v>1</v>
      </c>
      <c r="N412">
        <v>0</v>
      </c>
      <c r="O412">
        <v>1</v>
      </c>
      <c r="P412" t="s">
        <v>3</v>
      </c>
    </row>
    <row r="413" spans="1:16">
      <c r="A413" t="s">
        <v>1021</v>
      </c>
      <c r="B413" t="s">
        <v>965</v>
      </c>
      <c r="C413">
        <v>8.9999999999999993E-3</v>
      </c>
      <c r="D413" t="s">
        <v>758</v>
      </c>
      <c r="E413" t="s">
        <v>1039</v>
      </c>
      <c r="F413" t="s">
        <v>1023</v>
      </c>
      <c r="G413" t="s">
        <v>961</v>
      </c>
      <c r="H413">
        <v>0.83</v>
      </c>
      <c r="J413">
        <v>105536803</v>
      </c>
      <c r="K413" s="2">
        <v>43280</v>
      </c>
      <c r="L413">
        <v>21</v>
      </c>
      <c r="M413">
        <v>1</v>
      </c>
      <c r="N413">
        <v>8</v>
      </c>
      <c r="O413">
        <v>4</v>
      </c>
      <c r="P413" t="s">
        <v>7</v>
      </c>
    </row>
    <row r="414" spans="1:16">
      <c r="A414" t="s">
        <v>1021</v>
      </c>
      <c r="B414" t="s">
        <v>965</v>
      </c>
      <c r="C414">
        <v>0.1</v>
      </c>
      <c r="D414" t="s">
        <v>758</v>
      </c>
      <c r="E414" t="s">
        <v>968</v>
      </c>
      <c r="F414" t="s">
        <v>977</v>
      </c>
      <c r="G414" t="s">
        <v>962</v>
      </c>
      <c r="H414">
        <v>2.0920000000000001</v>
      </c>
      <c r="J414">
        <v>105505253</v>
      </c>
      <c r="K414" s="2">
        <v>43250</v>
      </c>
      <c r="L414">
        <v>28</v>
      </c>
      <c r="M414">
        <v>1</v>
      </c>
      <c r="N414">
        <v>25</v>
      </c>
      <c r="O414">
        <v>1</v>
      </c>
      <c r="P414" t="s">
        <v>7</v>
      </c>
    </row>
    <row r="415" spans="1:16">
      <c r="A415" t="s">
        <v>1021</v>
      </c>
      <c r="B415" t="s">
        <v>1026</v>
      </c>
      <c r="C415">
        <v>0</v>
      </c>
      <c r="E415" t="s">
        <v>965</v>
      </c>
      <c r="F415" t="s">
        <v>1098</v>
      </c>
      <c r="G415" t="s">
        <v>1036</v>
      </c>
      <c r="H415">
        <v>0.64300000000000002</v>
      </c>
      <c r="J415">
        <v>105645889</v>
      </c>
      <c r="K415" s="2">
        <v>43378</v>
      </c>
      <c r="L415">
        <v>21</v>
      </c>
      <c r="M415">
        <v>1</v>
      </c>
      <c r="N415">
        <v>0</v>
      </c>
      <c r="O415">
        <v>1</v>
      </c>
      <c r="P415" t="s">
        <v>7</v>
      </c>
    </row>
    <row r="416" spans="1:16">
      <c r="A416" t="s">
        <v>1021</v>
      </c>
      <c r="B416" t="s">
        <v>965</v>
      </c>
      <c r="C416">
        <v>0.1</v>
      </c>
      <c r="D416" t="s">
        <v>758</v>
      </c>
      <c r="E416" t="s">
        <v>967</v>
      </c>
      <c r="F416" t="s">
        <v>968</v>
      </c>
      <c r="G416" t="s">
        <v>961</v>
      </c>
      <c r="H416">
        <v>0.111</v>
      </c>
      <c r="J416">
        <v>105645894</v>
      </c>
      <c r="K416" s="2">
        <v>43385</v>
      </c>
      <c r="L416">
        <v>30</v>
      </c>
      <c r="M416">
        <v>1</v>
      </c>
      <c r="N416">
        <v>8</v>
      </c>
      <c r="O416">
        <v>1</v>
      </c>
      <c r="P416" t="s">
        <v>7</v>
      </c>
    </row>
    <row r="417" spans="1:19">
      <c r="A417" t="s">
        <v>1021</v>
      </c>
      <c r="B417" t="s">
        <v>966</v>
      </c>
      <c r="C417">
        <v>0</v>
      </c>
      <c r="E417" t="s">
        <v>1028</v>
      </c>
      <c r="F417" t="s">
        <v>964</v>
      </c>
      <c r="H417">
        <v>999.99900000000002</v>
      </c>
      <c r="J417">
        <v>107366519</v>
      </c>
      <c r="K417" s="2">
        <v>45030</v>
      </c>
      <c r="L417">
        <v>23</v>
      </c>
      <c r="M417">
        <v>2</v>
      </c>
      <c r="N417">
        <v>7</v>
      </c>
      <c r="O417">
        <v>1</v>
      </c>
      <c r="P417" t="s">
        <v>3</v>
      </c>
    </row>
    <row r="418" spans="1:19">
      <c r="A418" t="s">
        <v>1021</v>
      </c>
      <c r="B418" t="s">
        <v>965</v>
      </c>
      <c r="C418">
        <v>1E-3</v>
      </c>
      <c r="D418" t="s">
        <v>756</v>
      </c>
      <c r="E418" t="s">
        <v>1052</v>
      </c>
      <c r="F418" t="s">
        <v>1032</v>
      </c>
      <c r="G418" t="s">
        <v>961</v>
      </c>
      <c r="H418">
        <v>1.4319999999999999</v>
      </c>
      <c r="J418">
        <v>105416326</v>
      </c>
      <c r="K418" s="2">
        <v>43158</v>
      </c>
      <c r="L418">
        <v>30</v>
      </c>
      <c r="M418">
        <v>1</v>
      </c>
      <c r="N418">
        <v>8</v>
      </c>
      <c r="O418">
        <v>1</v>
      </c>
      <c r="P418" t="s">
        <v>7</v>
      </c>
    </row>
    <row r="419" spans="1:19">
      <c r="A419" t="s">
        <v>1021</v>
      </c>
      <c r="B419" t="s">
        <v>968</v>
      </c>
      <c r="C419">
        <v>0</v>
      </c>
      <c r="E419" t="s">
        <v>963</v>
      </c>
      <c r="F419" t="s">
        <v>1037</v>
      </c>
      <c r="G419" t="s">
        <v>968</v>
      </c>
      <c r="H419">
        <v>7.5890000000000004</v>
      </c>
      <c r="J419">
        <v>105532236</v>
      </c>
      <c r="K419" s="2">
        <v>43265</v>
      </c>
      <c r="L419">
        <v>21</v>
      </c>
      <c r="M419">
        <v>1</v>
      </c>
      <c r="N419">
        <v>0</v>
      </c>
      <c r="O419">
        <v>1</v>
      </c>
      <c r="P419" t="s">
        <v>7</v>
      </c>
    </row>
    <row r="420" spans="1:19">
      <c r="A420" t="s">
        <v>1021</v>
      </c>
      <c r="B420" t="s">
        <v>965</v>
      </c>
      <c r="C420">
        <v>0</v>
      </c>
      <c r="D420" t="s">
        <v>756</v>
      </c>
      <c r="E420" t="s">
        <v>1039</v>
      </c>
      <c r="F420" t="s">
        <v>1056</v>
      </c>
      <c r="G420" t="s">
        <v>961</v>
      </c>
      <c r="H420">
        <v>0.83899999999999997</v>
      </c>
      <c r="J420">
        <v>105558073</v>
      </c>
      <c r="K420" s="2">
        <v>43309</v>
      </c>
      <c r="L420">
        <v>17</v>
      </c>
      <c r="M420">
        <v>1</v>
      </c>
      <c r="N420">
        <v>0</v>
      </c>
      <c r="O420">
        <v>1</v>
      </c>
      <c r="P420" t="s">
        <v>7</v>
      </c>
    </row>
    <row r="421" spans="1:19">
      <c r="A421" t="s">
        <v>1021</v>
      </c>
      <c r="B421" t="s">
        <v>968</v>
      </c>
      <c r="C421">
        <v>8.0000000000000002E-3</v>
      </c>
      <c r="D421" t="s">
        <v>6</v>
      </c>
      <c r="E421" t="s">
        <v>965</v>
      </c>
      <c r="F421" t="s">
        <v>963</v>
      </c>
      <c r="G421" t="s">
        <v>968</v>
      </c>
      <c r="H421">
        <v>7.742</v>
      </c>
      <c r="J421">
        <v>105558076</v>
      </c>
      <c r="K421" s="2">
        <v>43309</v>
      </c>
      <c r="L421">
        <v>30</v>
      </c>
      <c r="M421">
        <v>1</v>
      </c>
      <c r="N421">
        <v>7</v>
      </c>
      <c r="O421">
        <v>1</v>
      </c>
      <c r="P421" t="s">
        <v>7</v>
      </c>
    </row>
    <row r="422" spans="1:19">
      <c r="A422" t="s">
        <v>1021</v>
      </c>
      <c r="B422" t="s">
        <v>965</v>
      </c>
      <c r="C422">
        <v>0</v>
      </c>
      <c r="E422" t="s">
        <v>1099</v>
      </c>
      <c r="F422" t="s">
        <v>1062</v>
      </c>
      <c r="G422" t="s">
        <v>1063</v>
      </c>
      <c r="H422">
        <v>0.311</v>
      </c>
      <c r="J422">
        <v>105671753</v>
      </c>
      <c r="K422" s="2">
        <v>43392</v>
      </c>
      <c r="L422">
        <v>30</v>
      </c>
      <c r="M422">
        <v>1</v>
      </c>
      <c r="N422">
        <v>0</v>
      </c>
      <c r="O422">
        <v>1</v>
      </c>
      <c r="P422" t="s">
        <v>3</v>
      </c>
    </row>
    <row r="423" spans="1:19">
      <c r="A423" t="s">
        <v>1021</v>
      </c>
      <c r="B423" t="s">
        <v>965</v>
      </c>
      <c r="C423">
        <v>2.4E-2</v>
      </c>
      <c r="D423" t="s">
        <v>756</v>
      </c>
      <c r="E423" t="s">
        <v>1054</v>
      </c>
      <c r="F423" t="s">
        <v>1032</v>
      </c>
      <c r="G423" t="s">
        <v>961</v>
      </c>
      <c r="H423">
        <v>1.7470000000000001</v>
      </c>
      <c r="J423">
        <v>105671767</v>
      </c>
      <c r="K423" s="2">
        <v>43399</v>
      </c>
      <c r="L423">
        <v>30</v>
      </c>
      <c r="M423">
        <v>2</v>
      </c>
      <c r="N423">
        <v>0</v>
      </c>
      <c r="O423">
        <v>1</v>
      </c>
      <c r="P423" t="s">
        <v>7</v>
      </c>
    </row>
    <row r="424" spans="1:19">
      <c r="A424" t="s">
        <v>1021</v>
      </c>
      <c r="B424" t="s">
        <v>967</v>
      </c>
      <c r="C424">
        <v>0</v>
      </c>
      <c r="E424" t="s">
        <v>1100</v>
      </c>
      <c r="F424" t="s">
        <v>1076</v>
      </c>
      <c r="G424" t="s">
        <v>967</v>
      </c>
      <c r="H424">
        <v>999.99900000000002</v>
      </c>
      <c r="J424">
        <v>105486834</v>
      </c>
      <c r="K424" s="2">
        <v>43224</v>
      </c>
      <c r="L424">
        <v>14</v>
      </c>
      <c r="M424">
        <v>1</v>
      </c>
      <c r="N424">
        <v>7</v>
      </c>
      <c r="O424">
        <v>1</v>
      </c>
      <c r="P424" t="s">
        <v>3</v>
      </c>
      <c r="Q424">
        <v>35.178255</v>
      </c>
      <c r="R424">
        <v>-79.428002000000006</v>
      </c>
      <c r="S424" t="s">
        <v>1077</v>
      </c>
    </row>
    <row r="425" spans="1:19">
      <c r="A425" t="s">
        <v>1021</v>
      </c>
      <c r="B425" t="s">
        <v>965</v>
      </c>
      <c r="C425">
        <v>0.2</v>
      </c>
      <c r="D425" t="s">
        <v>758</v>
      </c>
      <c r="E425" t="s">
        <v>1039</v>
      </c>
      <c r="F425" t="s">
        <v>1023</v>
      </c>
      <c r="G425" t="s">
        <v>961</v>
      </c>
      <c r="H425">
        <v>0.63900000000000001</v>
      </c>
      <c r="J425">
        <v>105646386</v>
      </c>
      <c r="K425" s="2">
        <v>43378</v>
      </c>
      <c r="L425">
        <v>21</v>
      </c>
      <c r="M425">
        <v>1</v>
      </c>
      <c r="N425">
        <v>7</v>
      </c>
      <c r="O425">
        <v>1</v>
      </c>
      <c r="P425" t="s">
        <v>3</v>
      </c>
    </row>
    <row r="426" spans="1:19">
      <c r="A426" t="s">
        <v>1021</v>
      </c>
      <c r="B426" t="s">
        <v>965</v>
      </c>
      <c r="C426">
        <v>0.2</v>
      </c>
      <c r="D426" t="s">
        <v>758</v>
      </c>
      <c r="E426" t="s">
        <v>967</v>
      </c>
      <c r="F426" t="s">
        <v>968</v>
      </c>
      <c r="G426" t="s">
        <v>961</v>
      </c>
      <c r="H426">
        <v>1.0999999999999999E-2</v>
      </c>
      <c r="J426">
        <v>105611397</v>
      </c>
      <c r="K426" s="2">
        <v>43344</v>
      </c>
      <c r="L426">
        <v>30</v>
      </c>
      <c r="M426">
        <v>1</v>
      </c>
      <c r="N426">
        <v>0</v>
      </c>
      <c r="O426">
        <v>2</v>
      </c>
      <c r="P426" t="s">
        <v>3</v>
      </c>
    </row>
    <row r="427" spans="1:19">
      <c r="A427" t="s">
        <v>1021</v>
      </c>
      <c r="B427" t="s">
        <v>965</v>
      </c>
      <c r="C427">
        <v>0</v>
      </c>
      <c r="E427" t="s">
        <v>979</v>
      </c>
      <c r="F427" t="s">
        <v>1054</v>
      </c>
      <c r="G427" t="s">
        <v>961</v>
      </c>
      <c r="H427">
        <v>1.5960000000000001</v>
      </c>
      <c r="J427">
        <v>105669430</v>
      </c>
      <c r="K427" s="2">
        <v>43399</v>
      </c>
      <c r="L427">
        <v>21</v>
      </c>
      <c r="M427">
        <v>2</v>
      </c>
      <c r="N427">
        <v>7</v>
      </c>
      <c r="O427">
        <v>1</v>
      </c>
      <c r="P427" t="s">
        <v>7</v>
      </c>
    </row>
    <row r="428" spans="1:19">
      <c r="A428" t="s">
        <v>1021</v>
      </c>
      <c r="B428" t="s">
        <v>965</v>
      </c>
      <c r="C428">
        <v>0</v>
      </c>
      <c r="E428" t="s">
        <v>1064</v>
      </c>
      <c r="F428" t="s">
        <v>1052</v>
      </c>
      <c r="G428" t="s">
        <v>961</v>
      </c>
      <c r="H428">
        <v>1.405</v>
      </c>
      <c r="J428">
        <v>105669459</v>
      </c>
      <c r="K428" s="2">
        <v>43391</v>
      </c>
      <c r="L428">
        <v>23</v>
      </c>
      <c r="M428">
        <v>1</v>
      </c>
      <c r="N428">
        <v>7</v>
      </c>
      <c r="O428">
        <v>1</v>
      </c>
      <c r="P428" t="s">
        <v>8</v>
      </c>
    </row>
    <row r="429" spans="1:19">
      <c r="A429" t="s">
        <v>1021</v>
      </c>
      <c r="B429" t="s">
        <v>968</v>
      </c>
      <c r="C429">
        <v>0</v>
      </c>
      <c r="E429" t="s">
        <v>964</v>
      </c>
      <c r="F429" t="s">
        <v>965</v>
      </c>
      <c r="G429" t="s">
        <v>968</v>
      </c>
      <c r="H429">
        <v>8.1210000000000004</v>
      </c>
      <c r="J429">
        <v>105682129</v>
      </c>
      <c r="K429" s="2">
        <v>43410</v>
      </c>
      <c r="L429">
        <v>21</v>
      </c>
      <c r="M429">
        <v>2</v>
      </c>
      <c r="N429">
        <v>7</v>
      </c>
      <c r="O429">
        <v>1</v>
      </c>
      <c r="P429" t="s">
        <v>7</v>
      </c>
    </row>
    <row r="430" spans="1:19">
      <c r="A430" t="s">
        <v>1021</v>
      </c>
      <c r="B430" t="s">
        <v>965</v>
      </c>
      <c r="C430">
        <v>0</v>
      </c>
      <c r="E430" t="s">
        <v>1025</v>
      </c>
      <c r="F430" t="s">
        <v>1026</v>
      </c>
      <c r="G430" t="s">
        <v>965</v>
      </c>
      <c r="H430">
        <v>999.99900000000002</v>
      </c>
      <c r="J430">
        <v>105806338</v>
      </c>
      <c r="K430" s="2">
        <v>43526</v>
      </c>
      <c r="L430">
        <v>1</v>
      </c>
      <c r="M430">
        <v>2</v>
      </c>
      <c r="N430">
        <v>0</v>
      </c>
      <c r="O430">
        <v>5</v>
      </c>
      <c r="P430" t="s">
        <v>7</v>
      </c>
    </row>
    <row r="431" spans="1:19">
      <c r="A431" t="s">
        <v>1021</v>
      </c>
      <c r="B431" t="s">
        <v>965</v>
      </c>
      <c r="C431">
        <v>0.1</v>
      </c>
      <c r="D431" t="s">
        <v>758</v>
      </c>
      <c r="E431" t="s">
        <v>1056</v>
      </c>
      <c r="F431" t="s">
        <v>1101</v>
      </c>
      <c r="G431" t="s">
        <v>961</v>
      </c>
      <c r="H431">
        <v>1.177</v>
      </c>
      <c r="J431">
        <v>105733632</v>
      </c>
      <c r="K431" s="2">
        <v>43442</v>
      </c>
      <c r="L431">
        <v>17</v>
      </c>
      <c r="M431">
        <v>2</v>
      </c>
      <c r="N431">
        <v>0</v>
      </c>
      <c r="O431">
        <v>5</v>
      </c>
      <c r="P431" t="s">
        <v>7</v>
      </c>
    </row>
    <row r="432" spans="1:19">
      <c r="A432" t="s">
        <v>1021</v>
      </c>
      <c r="B432" t="s">
        <v>965</v>
      </c>
      <c r="C432">
        <v>0</v>
      </c>
      <c r="E432" t="s">
        <v>1023</v>
      </c>
      <c r="F432" t="s">
        <v>1020</v>
      </c>
      <c r="G432" t="s">
        <v>961</v>
      </c>
      <c r="H432">
        <v>0.66500000000000004</v>
      </c>
      <c r="J432">
        <v>105824332</v>
      </c>
      <c r="K432" s="2">
        <v>43545</v>
      </c>
      <c r="L432">
        <v>30</v>
      </c>
      <c r="M432">
        <v>2</v>
      </c>
      <c r="N432">
        <v>7</v>
      </c>
      <c r="O432">
        <v>1</v>
      </c>
      <c r="P432" t="s">
        <v>3</v>
      </c>
    </row>
    <row r="433" spans="1:16">
      <c r="A433" t="s">
        <v>1021</v>
      </c>
      <c r="B433" t="s">
        <v>968</v>
      </c>
      <c r="C433">
        <v>2.7E-2</v>
      </c>
      <c r="D433" t="s">
        <v>757</v>
      </c>
      <c r="E433" t="s">
        <v>963</v>
      </c>
      <c r="F433" t="s">
        <v>965</v>
      </c>
      <c r="G433" t="s">
        <v>968</v>
      </c>
      <c r="H433">
        <v>7.6159999999999997</v>
      </c>
      <c r="J433">
        <v>105777175</v>
      </c>
      <c r="K433" s="2">
        <v>43497</v>
      </c>
      <c r="L433">
        <v>21</v>
      </c>
      <c r="M433">
        <v>1</v>
      </c>
      <c r="N433">
        <v>0</v>
      </c>
      <c r="O433">
        <v>2</v>
      </c>
      <c r="P433" t="s">
        <v>7</v>
      </c>
    </row>
    <row r="434" spans="1:16">
      <c r="A434" t="s">
        <v>1021</v>
      </c>
      <c r="B434" t="s">
        <v>968</v>
      </c>
      <c r="C434">
        <v>0.01</v>
      </c>
      <c r="D434" t="s">
        <v>6</v>
      </c>
      <c r="E434" t="s">
        <v>964</v>
      </c>
      <c r="F434" t="s">
        <v>1072</v>
      </c>
      <c r="G434" t="s">
        <v>968</v>
      </c>
      <c r="H434">
        <v>8.1110000000000007</v>
      </c>
      <c r="J434">
        <v>105806661</v>
      </c>
      <c r="K434" s="2">
        <v>43529</v>
      </c>
      <c r="L434">
        <v>30</v>
      </c>
      <c r="M434">
        <v>1</v>
      </c>
      <c r="N434">
        <v>0</v>
      </c>
      <c r="O434">
        <v>3</v>
      </c>
      <c r="P434" t="s">
        <v>3</v>
      </c>
    </row>
    <row r="435" spans="1:16">
      <c r="A435" t="s">
        <v>1021</v>
      </c>
      <c r="B435" t="s">
        <v>965</v>
      </c>
      <c r="C435">
        <v>0</v>
      </c>
      <c r="E435" t="s">
        <v>1023</v>
      </c>
      <c r="F435" t="s">
        <v>1020</v>
      </c>
      <c r="G435" t="s">
        <v>961</v>
      </c>
      <c r="H435">
        <v>0.66500000000000004</v>
      </c>
      <c r="J435">
        <v>107779343</v>
      </c>
      <c r="K435" s="2">
        <v>45483</v>
      </c>
      <c r="L435">
        <v>21</v>
      </c>
      <c r="M435">
        <v>1</v>
      </c>
      <c r="N435">
        <v>7</v>
      </c>
      <c r="O435">
        <v>4</v>
      </c>
      <c r="P435" t="s">
        <v>7</v>
      </c>
    </row>
    <row r="436" spans="1:16">
      <c r="A436" t="s">
        <v>1021</v>
      </c>
      <c r="B436" t="s">
        <v>966</v>
      </c>
      <c r="C436">
        <v>0.18</v>
      </c>
      <c r="D436" t="s">
        <v>756</v>
      </c>
      <c r="E436" t="s">
        <v>1028</v>
      </c>
      <c r="F436" t="s">
        <v>1102</v>
      </c>
      <c r="H436">
        <v>999.99900000000002</v>
      </c>
      <c r="J436">
        <v>107719794</v>
      </c>
      <c r="K436" s="2">
        <v>45426</v>
      </c>
      <c r="L436">
        <v>1</v>
      </c>
      <c r="M436">
        <v>2</v>
      </c>
      <c r="N436">
        <v>0</v>
      </c>
      <c r="O436">
        <v>1</v>
      </c>
      <c r="P436" t="s">
        <v>7</v>
      </c>
    </row>
    <row r="437" spans="1:16">
      <c r="A437" t="s">
        <v>1021</v>
      </c>
      <c r="B437" t="s">
        <v>965</v>
      </c>
      <c r="C437">
        <v>0</v>
      </c>
      <c r="D437" t="s">
        <v>758</v>
      </c>
      <c r="E437" t="s">
        <v>968</v>
      </c>
      <c r="F437" t="s">
        <v>977</v>
      </c>
      <c r="G437" t="s">
        <v>962</v>
      </c>
      <c r="H437">
        <v>2.1920000000000002</v>
      </c>
      <c r="J437">
        <v>105792454</v>
      </c>
      <c r="K437" s="2">
        <v>43510</v>
      </c>
      <c r="L437">
        <v>21</v>
      </c>
      <c r="M437">
        <v>1</v>
      </c>
      <c r="N437">
        <v>7</v>
      </c>
      <c r="O437">
        <v>1</v>
      </c>
      <c r="P437" t="s">
        <v>7</v>
      </c>
    </row>
    <row r="438" spans="1:16">
      <c r="A438" t="s">
        <v>1021</v>
      </c>
      <c r="B438" t="s">
        <v>964</v>
      </c>
      <c r="C438">
        <v>0.2</v>
      </c>
      <c r="D438" t="s">
        <v>758</v>
      </c>
      <c r="E438" t="s">
        <v>966</v>
      </c>
      <c r="F438" t="s">
        <v>1103</v>
      </c>
      <c r="G438" t="s">
        <v>960</v>
      </c>
      <c r="H438">
        <v>0.52700000000000002</v>
      </c>
      <c r="J438">
        <v>105792462</v>
      </c>
      <c r="K438" s="2">
        <v>43516</v>
      </c>
      <c r="L438">
        <v>30</v>
      </c>
      <c r="M438">
        <v>2</v>
      </c>
      <c r="N438">
        <v>8</v>
      </c>
      <c r="O438">
        <v>1</v>
      </c>
      <c r="P438" t="s">
        <v>7</v>
      </c>
    </row>
    <row r="439" spans="1:16">
      <c r="A439" t="s">
        <v>1021</v>
      </c>
      <c r="B439" t="s">
        <v>1032</v>
      </c>
      <c r="C439">
        <v>2E-3</v>
      </c>
      <c r="D439" t="s">
        <v>757</v>
      </c>
      <c r="E439" t="s">
        <v>965</v>
      </c>
      <c r="F439" t="s">
        <v>1071</v>
      </c>
      <c r="G439" t="s">
        <v>1032</v>
      </c>
      <c r="H439">
        <v>0.122</v>
      </c>
      <c r="J439">
        <v>105792464</v>
      </c>
      <c r="K439" s="2">
        <v>43519</v>
      </c>
      <c r="L439">
        <v>1</v>
      </c>
      <c r="M439">
        <v>2</v>
      </c>
      <c r="N439">
        <v>7</v>
      </c>
      <c r="O439">
        <v>4</v>
      </c>
      <c r="P439" t="s">
        <v>7</v>
      </c>
    </row>
    <row r="440" spans="1:16">
      <c r="A440" t="s">
        <v>1021</v>
      </c>
      <c r="B440" t="s">
        <v>965</v>
      </c>
      <c r="C440">
        <v>1.2E-2</v>
      </c>
      <c r="D440" t="s">
        <v>758</v>
      </c>
      <c r="E440" t="s">
        <v>968</v>
      </c>
      <c r="F440" t="s">
        <v>977</v>
      </c>
      <c r="G440" t="s">
        <v>962</v>
      </c>
      <c r="H440">
        <v>2.1800000000000002</v>
      </c>
      <c r="J440">
        <v>105792459</v>
      </c>
      <c r="K440" s="2">
        <v>43514</v>
      </c>
      <c r="L440">
        <v>21</v>
      </c>
      <c r="M440">
        <v>1</v>
      </c>
      <c r="N440">
        <v>7</v>
      </c>
      <c r="O440">
        <v>1</v>
      </c>
      <c r="P440" t="s">
        <v>7</v>
      </c>
    </row>
    <row r="441" spans="1:16">
      <c r="A441" t="s">
        <v>1021</v>
      </c>
      <c r="B441" t="s">
        <v>965</v>
      </c>
      <c r="C441">
        <v>0</v>
      </c>
      <c r="E441" t="s">
        <v>1026</v>
      </c>
      <c r="F441" t="s">
        <v>1055</v>
      </c>
      <c r="G441" t="s">
        <v>1036</v>
      </c>
      <c r="H441">
        <v>0.64300000000000002</v>
      </c>
      <c r="J441">
        <v>105806273</v>
      </c>
      <c r="K441" s="2">
        <v>43535</v>
      </c>
      <c r="L441">
        <v>24</v>
      </c>
      <c r="M441">
        <v>1</v>
      </c>
      <c r="N441">
        <v>8</v>
      </c>
      <c r="O441">
        <v>1</v>
      </c>
      <c r="P441" t="s">
        <v>7</v>
      </c>
    </row>
    <row r="442" spans="1:16">
      <c r="A442" t="s">
        <v>1021</v>
      </c>
      <c r="B442" t="s">
        <v>968</v>
      </c>
      <c r="C442">
        <v>0</v>
      </c>
      <c r="E442" t="s">
        <v>965</v>
      </c>
      <c r="F442" t="s">
        <v>963</v>
      </c>
      <c r="G442" t="s">
        <v>968</v>
      </c>
      <c r="H442">
        <v>7.75</v>
      </c>
      <c r="J442">
        <v>105741360</v>
      </c>
      <c r="K442" s="2">
        <v>43456</v>
      </c>
      <c r="L442">
        <v>30</v>
      </c>
      <c r="M442">
        <v>1</v>
      </c>
      <c r="N442">
        <v>7</v>
      </c>
      <c r="O442">
        <v>1</v>
      </c>
      <c r="P442" t="s">
        <v>3</v>
      </c>
    </row>
    <row r="443" spans="1:16">
      <c r="A443" t="s">
        <v>1021</v>
      </c>
      <c r="B443" t="s">
        <v>965</v>
      </c>
      <c r="C443">
        <v>0.1</v>
      </c>
      <c r="D443" t="s">
        <v>756</v>
      </c>
      <c r="E443" t="s">
        <v>1023</v>
      </c>
      <c r="F443" t="s">
        <v>1056</v>
      </c>
      <c r="G443" t="s">
        <v>961</v>
      </c>
      <c r="H443">
        <v>0.76500000000000001</v>
      </c>
      <c r="J443">
        <v>105752238</v>
      </c>
      <c r="K443" s="2">
        <v>43478</v>
      </c>
      <c r="L443">
        <v>17</v>
      </c>
      <c r="M443">
        <v>2</v>
      </c>
      <c r="N443">
        <v>0</v>
      </c>
      <c r="O443">
        <v>5</v>
      </c>
      <c r="P443" t="s">
        <v>7</v>
      </c>
    </row>
    <row r="444" spans="1:16">
      <c r="A444" t="s">
        <v>1021</v>
      </c>
      <c r="B444" t="s">
        <v>967</v>
      </c>
      <c r="C444">
        <v>0</v>
      </c>
      <c r="E444" t="s">
        <v>965</v>
      </c>
      <c r="F444" t="s">
        <v>963</v>
      </c>
      <c r="G444" t="s">
        <v>960</v>
      </c>
      <c r="H444">
        <v>1.4890000000000001</v>
      </c>
      <c r="J444">
        <v>105682086</v>
      </c>
      <c r="K444" s="2">
        <v>43409</v>
      </c>
      <c r="L444">
        <v>27</v>
      </c>
      <c r="M444">
        <v>2</v>
      </c>
      <c r="N444">
        <v>7</v>
      </c>
      <c r="O444">
        <v>1</v>
      </c>
      <c r="P444" t="s">
        <v>3</v>
      </c>
    </row>
    <row r="445" spans="1:16">
      <c r="A445" t="s">
        <v>1021</v>
      </c>
      <c r="B445" t="s">
        <v>1097</v>
      </c>
      <c r="C445">
        <v>0</v>
      </c>
      <c r="E445" t="s">
        <v>965</v>
      </c>
      <c r="F445" t="s">
        <v>1097</v>
      </c>
      <c r="G445" t="s">
        <v>1063</v>
      </c>
      <c r="H445">
        <v>0.16400000000000001</v>
      </c>
      <c r="J445">
        <v>105777172</v>
      </c>
      <c r="K445" s="2">
        <v>43505</v>
      </c>
      <c r="L445">
        <v>2</v>
      </c>
      <c r="M445">
        <v>1</v>
      </c>
      <c r="N445">
        <v>0</v>
      </c>
      <c r="O445">
        <v>5</v>
      </c>
      <c r="P445" t="s">
        <v>7</v>
      </c>
    </row>
    <row r="446" spans="1:16">
      <c r="A446" t="s">
        <v>1021</v>
      </c>
      <c r="B446" t="s">
        <v>965</v>
      </c>
      <c r="C446">
        <v>0.1</v>
      </c>
      <c r="E446" t="s">
        <v>975</v>
      </c>
      <c r="F446" t="s">
        <v>977</v>
      </c>
      <c r="G446" t="s">
        <v>962</v>
      </c>
      <c r="H446">
        <v>2.0019999999999998</v>
      </c>
      <c r="I446" t="s">
        <v>61</v>
      </c>
      <c r="J446">
        <v>105950177</v>
      </c>
      <c r="K446" s="2">
        <v>43671</v>
      </c>
      <c r="L446">
        <v>21</v>
      </c>
      <c r="M446">
        <v>1</v>
      </c>
      <c r="N446">
        <v>0</v>
      </c>
      <c r="O446">
        <v>1</v>
      </c>
      <c r="P446" t="s">
        <v>7</v>
      </c>
    </row>
    <row r="447" spans="1:16">
      <c r="A447" t="s">
        <v>1021</v>
      </c>
      <c r="B447" t="s">
        <v>965</v>
      </c>
      <c r="C447">
        <v>0.1</v>
      </c>
      <c r="D447" t="s">
        <v>758</v>
      </c>
      <c r="E447" t="s">
        <v>1056</v>
      </c>
      <c r="F447" t="s">
        <v>1039</v>
      </c>
      <c r="G447" t="s">
        <v>961</v>
      </c>
      <c r="H447">
        <v>1.177</v>
      </c>
      <c r="J447">
        <v>105950191</v>
      </c>
      <c r="K447" s="2">
        <v>43671</v>
      </c>
      <c r="L447">
        <v>17</v>
      </c>
      <c r="M447">
        <v>1</v>
      </c>
      <c r="N447">
        <v>0</v>
      </c>
      <c r="O447">
        <v>1</v>
      </c>
      <c r="P447" t="s">
        <v>7</v>
      </c>
    </row>
    <row r="448" spans="1:16">
      <c r="A448" t="s">
        <v>1021</v>
      </c>
      <c r="B448" t="s">
        <v>968</v>
      </c>
      <c r="C448">
        <v>0</v>
      </c>
      <c r="D448" t="s">
        <v>758</v>
      </c>
      <c r="E448" t="s">
        <v>964</v>
      </c>
      <c r="F448" t="s">
        <v>985</v>
      </c>
      <c r="G448" t="s">
        <v>968</v>
      </c>
      <c r="H448">
        <v>8.1210000000000004</v>
      </c>
      <c r="J448">
        <v>108392352</v>
      </c>
      <c r="K448" s="2">
        <v>46058</v>
      </c>
      <c r="L448">
        <v>17</v>
      </c>
      <c r="M448">
        <v>1</v>
      </c>
      <c r="N448">
        <v>8</v>
      </c>
      <c r="O448">
        <v>4</v>
      </c>
      <c r="P448" t="s">
        <v>7</v>
      </c>
    </row>
    <row r="449" spans="1:16">
      <c r="A449" t="s">
        <v>1021</v>
      </c>
      <c r="B449" t="s">
        <v>965</v>
      </c>
      <c r="C449">
        <v>0</v>
      </c>
      <c r="E449" t="s">
        <v>1023</v>
      </c>
      <c r="F449" t="s">
        <v>1104</v>
      </c>
      <c r="G449" t="s">
        <v>961</v>
      </c>
      <c r="H449">
        <v>0.66500000000000004</v>
      </c>
      <c r="J449">
        <v>105962995</v>
      </c>
      <c r="K449" s="2">
        <v>43682</v>
      </c>
      <c r="L449">
        <v>21</v>
      </c>
      <c r="M449">
        <v>1</v>
      </c>
      <c r="N449">
        <v>7</v>
      </c>
      <c r="O449">
        <v>1</v>
      </c>
      <c r="P449" t="s">
        <v>3</v>
      </c>
    </row>
    <row r="450" spans="1:16">
      <c r="A450" t="s">
        <v>1021</v>
      </c>
      <c r="B450" t="s">
        <v>966</v>
      </c>
      <c r="C450">
        <v>0</v>
      </c>
      <c r="E450" t="s">
        <v>1087</v>
      </c>
      <c r="F450" t="s">
        <v>1050</v>
      </c>
      <c r="H450">
        <v>999.99900000000002</v>
      </c>
      <c r="J450">
        <v>105823324</v>
      </c>
      <c r="K450" s="2">
        <v>43547</v>
      </c>
      <c r="L450">
        <v>30</v>
      </c>
      <c r="M450">
        <v>1</v>
      </c>
      <c r="N450">
        <v>8</v>
      </c>
      <c r="O450">
        <v>1</v>
      </c>
      <c r="P450" t="s">
        <v>7</v>
      </c>
    </row>
    <row r="451" spans="1:16">
      <c r="A451" t="s">
        <v>1021</v>
      </c>
      <c r="B451" t="s">
        <v>968</v>
      </c>
      <c r="C451">
        <v>0</v>
      </c>
      <c r="E451" t="s">
        <v>965</v>
      </c>
      <c r="F451" t="s">
        <v>964</v>
      </c>
      <c r="G451" t="s">
        <v>968</v>
      </c>
      <c r="H451">
        <v>7.75</v>
      </c>
      <c r="J451">
        <v>105823332</v>
      </c>
      <c r="K451" s="2">
        <v>43545</v>
      </c>
      <c r="L451">
        <v>21</v>
      </c>
      <c r="M451">
        <v>1</v>
      </c>
      <c r="N451">
        <v>7</v>
      </c>
      <c r="O451">
        <v>1</v>
      </c>
      <c r="P451" t="s">
        <v>3</v>
      </c>
    </row>
    <row r="452" spans="1:16">
      <c r="A452" t="s">
        <v>1021</v>
      </c>
      <c r="B452" t="s">
        <v>965</v>
      </c>
      <c r="C452">
        <v>7.5999999999999998E-2</v>
      </c>
      <c r="D452" t="s">
        <v>758</v>
      </c>
      <c r="E452" t="s">
        <v>1097</v>
      </c>
      <c r="F452" t="s">
        <v>1026</v>
      </c>
      <c r="G452" t="s">
        <v>1063</v>
      </c>
      <c r="H452">
        <v>8.7999999999999995E-2</v>
      </c>
      <c r="J452">
        <v>105823341</v>
      </c>
      <c r="K452" s="2">
        <v>43542</v>
      </c>
      <c r="L452">
        <v>21</v>
      </c>
      <c r="M452">
        <v>1</v>
      </c>
      <c r="N452">
        <v>0</v>
      </c>
      <c r="O452">
        <v>1</v>
      </c>
      <c r="P452" t="s">
        <v>7</v>
      </c>
    </row>
    <row r="453" spans="1:16">
      <c r="A453" t="s">
        <v>1021</v>
      </c>
      <c r="B453" t="s">
        <v>965</v>
      </c>
      <c r="C453">
        <v>0</v>
      </c>
      <c r="E453" t="s">
        <v>1032</v>
      </c>
      <c r="F453" t="s">
        <v>1040</v>
      </c>
      <c r="G453" t="s">
        <v>961</v>
      </c>
      <c r="H453">
        <v>1.843</v>
      </c>
      <c r="J453">
        <v>105823342</v>
      </c>
      <c r="K453" s="2">
        <v>43542</v>
      </c>
      <c r="L453">
        <v>23</v>
      </c>
      <c r="M453">
        <v>1</v>
      </c>
      <c r="N453">
        <v>7</v>
      </c>
      <c r="O453">
        <v>1</v>
      </c>
      <c r="P453" t="s">
        <v>3</v>
      </c>
    </row>
    <row r="454" spans="1:16">
      <c r="A454" t="s">
        <v>1021</v>
      </c>
      <c r="B454" t="s">
        <v>965</v>
      </c>
      <c r="C454">
        <v>5.7000000000000002E-2</v>
      </c>
      <c r="D454" t="s">
        <v>756</v>
      </c>
      <c r="E454" t="s">
        <v>968</v>
      </c>
      <c r="F454" t="s">
        <v>967</v>
      </c>
      <c r="G454" t="s">
        <v>961</v>
      </c>
      <c r="H454">
        <v>5.7000000000000002E-2</v>
      </c>
      <c r="J454">
        <v>105720587</v>
      </c>
      <c r="K454" s="2">
        <v>43410</v>
      </c>
      <c r="L454">
        <v>21</v>
      </c>
      <c r="M454">
        <v>1</v>
      </c>
      <c r="N454">
        <v>0</v>
      </c>
      <c r="O454">
        <v>1</v>
      </c>
      <c r="P454" t="s">
        <v>3</v>
      </c>
    </row>
    <row r="455" spans="1:16">
      <c r="A455" t="s">
        <v>1021</v>
      </c>
      <c r="B455" t="s">
        <v>965</v>
      </c>
      <c r="C455">
        <v>2.1000000000000001E-2</v>
      </c>
      <c r="D455" t="s">
        <v>756</v>
      </c>
      <c r="E455" t="s">
        <v>967</v>
      </c>
      <c r="F455" t="s">
        <v>1020</v>
      </c>
      <c r="G455" t="s">
        <v>961</v>
      </c>
      <c r="H455">
        <v>0.23200000000000001</v>
      </c>
      <c r="J455">
        <v>105741351</v>
      </c>
      <c r="K455" s="2">
        <v>43453</v>
      </c>
      <c r="L455">
        <v>28</v>
      </c>
      <c r="M455">
        <v>1</v>
      </c>
      <c r="N455">
        <v>7</v>
      </c>
      <c r="O455">
        <v>1</v>
      </c>
      <c r="P455" t="s">
        <v>7</v>
      </c>
    </row>
    <row r="456" spans="1:16">
      <c r="A456" t="s">
        <v>1021</v>
      </c>
      <c r="B456" t="s">
        <v>965</v>
      </c>
      <c r="C456">
        <v>5.3999999999999999E-2</v>
      </c>
      <c r="D456" t="s">
        <v>758</v>
      </c>
      <c r="E456" t="s">
        <v>1032</v>
      </c>
      <c r="F456" t="s">
        <v>1105</v>
      </c>
      <c r="G456" t="s">
        <v>961</v>
      </c>
      <c r="H456">
        <v>1.7889999999999999</v>
      </c>
      <c r="J456">
        <v>105941656</v>
      </c>
      <c r="K456" s="2">
        <v>43641</v>
      </c>
      <c r="L456">
        <v>21</v>
      </c>
      <c r="M456">
        <v>1</v>
      </c>
      <c r="N456">
        <v>0</v>
      </c>
      <c r="O456">
        <v>1</v>
      </c>
      <c r="P456" t="s">
        <v>3</v>
      </c>
    </row>
    <row r="457" spans="1:16">
      <c r="A457" t="s">
        <v>1021</v>
      </c>
      <c r="B457" t="s">
        <v>979</v>
      </c>
      <c r="C457">
        <v>1.9E-2</v>
      </c>
      <c r="D457" t="s">
        <v>757</v>
      </c>
      <c r="E457" t="s">
        <v>965</v>
      </c>
      <c r="F457" t="s">
        <v>1051</v>
      </c>
      <c r="G457" t="s">
        <v>979</v>
      </c>
      <c r="H457">
        <v>9.6820000000000004</v>
      </c>
      <c r="J457">
        <v>105962992</v>
      </c>
      <c r="K457" s="2">
        <v>43681</v>
      </c>
      <c r="L457">
        <v>1</v>
      </c>
      <c r="M457">
        <v>2</v>
      </c>
      <c r="N457">
        <v>20</v>
      </c>
      <c r="O457">
        <v>1</v>
      </c>
      <c r="P457" t="s">
        <v>7</v>
      </c>
    </row>
    <row r="458" spans="1:16">
      <c r="A458" t="s">
        <v>1021</v>
      </c>
      <c r="B458" t="s">
        <v>965</v>
      </c>
      <c r="C458">
        <v>3.0000000000000001E-3</v>
      </c>
      <c r="D458" t="s">
        <v>756</v>
      </c>
      <c r="E458" t="s">
        <v>1023</v>
      </c>
      <c r="F458" t="s">
        <v>1039</v>
      </c>
      <c r="G458" t="s">
        <v>961</v>
      </c>
      <c r="H458">
        <v>0.66800000000000004</v>
      </c>
      <c r="J458">
        <v>105792569</v>
      </c>
      <c r="K458" s="2">
        <v>43521</v>
      </c>
      <c r="L458">
        <v>19</v>
      </c>
      <c r="M458">
        <v>1</v>
      </c>
      <c r="N458">
        <v>7</v>
      </c>
      <c r="O458">
        <v>1</v>
      </c>
      <c r="P458" t="s">
        <v>7</v>
      </c>
    </row>
    <row r="459" spans="1:16">
      <c r="A459" t="s">
        <v>1021</v>
      </c>
      <c r="B459" t="s">
        <v>1032</v>
      </c>
      <c r="C459">
        <v>0</v>
      </c>
      <c r="E459" t="s">
        <v>965</v>
      </c>
      <c r="F459" t="s">
        <v>979</v>
      </c>
      <c r="G459" t="s">
        <v>1032</v>
      </c>
      <c r="H459">
        <v>0.12</v>
      </c>
      <c r="J459">
        <v>105733619</v>
      </c>
      <c r="K459" s="2">
        <v>43441</v>
      </c>
      <c r="L459">
        <v>30</v>
      </c>
      <c r="M459">
        <v>1</v>
      </c>
      <c r="N459">
        <v>7</v>
      </c>
      <c r="O459">
        <v>1</v>
      </c>
      <c r="P459" t="s">
        <v>7</v>
      </c>
    </row>
    <row r="460" spans="1:16">
      <c r="A460" t="s">
        <v>1021</v>
      </c>
      <c r="B460" t="s">
        <v>968</v>
      </c>
      <c r="C460">
        <v>7.0000000000000001E-3</v>
      </c>
      <c r="D460" t="s">
        <v>6</v>
      </c>
      <c r="E460" t="s">
        <v>965</v>
      </c>
      <c r="F460" t="s">
        <v>963</v>
      </c>
      <c r="G460" t="s">
        <v>968</v>
      </c>
      <c r="H460">
        <v>7.7430000000000003</v>
      </c>
      <c r="J460">
        <v>106036367</v>
      </c>
      <c r="K460" s="2">
        <v>43747</v>
      </c>
      <c r="L460">
        <v>30</v>
      </c>
      <c r="M460">
        <v>1</v>
      </c>
      <c r="N460">
        <v>7</v>
      </c>
      <c r="O460">
        <v>1</v>
      </c>
      <c r="P460" t="s">
        <v>7</v>
      </c>
    </row>
    <row r="461" spans="1:16">
      <c r="A461" t="s">
        <v>1021</v>
      </c>
      <c r="B461" t="s">
        <v>962</v>
      </c>
      <c r="C461">
        <v>0.1</v>
      </c>
      <c r="D461" t="s">
        <v>758</v>
      </c>
      <c r="E461" t="s">
        <v>968</v>
      </c>
      <c r="F461" t="s">
        <v>975</v>
      </c>
      <c r="G461" t="s">
        <v>962</v>
      </c>
      <c r="H461">
        <v>2.0920000000000001</v>
      </c>
      <c r="J461">
        <v>105749191</v>
      </c>
      <c r="K461" s="2">
        <v>43484</v>
      </c>
      <c r="L461">
        <v>17</v>
      </c>
      <c r="M461">
        <v>1</v>
      </c>
      <c r="N461">
        <v>0</v>
      </c>
      <c r="O461">
        <v>1</v>
      </c>
      <c r="P461" t="s">
        <v>7</v>
      </c>
    </row>
    <row r="462" spans="1:16">
      <c r="A462" t="s">
        <v>1021</v>
      </c>
      <c r="B462" t="s">
        <v>1023</v>
      </c>
      <c r="C462">
        <v>0</v>
      </c>
      <c r="E462" t="s">
        <v>965</v>
      </c>
      <c r="F462" t="s">
        <v>1037</v>
      </c>
      <c r="G462" t="s">
        <v>961</v>
      </c>
      <c r="H462">
        <v>0.66500000000000004</v>
      </c>
      <c r="J462">
        <v>106001233</v>
      </c>
      <c r="K462" s="2">
        <v>43712</v>
      </c>
      <c r="L462">
        <v>30</v>
      </c>
      <c r="M462">
        <v>1</v>
      </c>
      <c r="N462">
        <v>7</v>
      </c>
      <c r="O462">
        <v>7</v>
      </c>
      <c r="P462" t="s">
        <v>7</v>
      </c>
    </row>
    <row r="463" spans="1:16">
      <c r="A463" t="s">
        <v>1021</v>
      </c>
      <c r="B463" t="s">
        <v>968</v>
      </c>
      <c r="C463">
        <v>0</v>
      </c>
      <c r="E463" t="s">
        <v>962</v>
      </c>
      <c r="F463" t="s">
        <v>1002</v>
      </c>
      <c r="G463" t="s">
        <v>968</v>
      </c>
      <c r="H463">
        <v>7.75</v>
      </c>
      <c r="J463">
        <v>106004818</v>
      </c>
      <c r="K463" s="2">
        <v>43727</v>
      </c>
      <c r="L463">
        <v>21</v>
      </c>
      <c r="M463">
        <v>1</v>
      </c>
      <c r="N463">
        <v>0</v>
      </c>
      <c r="O463">
        <v>1</v>
      </c>
      <c r="P463" t="s">
        <v>7</v>
      </c>
    </row>
    <row r="464" spans="1:16">
      <c r="A464" t="s">
        <v>1021</v>
      </c>
      <c r="B464" t="s">
        <v>979</v>
      </c>
      <c r="C464">
        <v>0</v>
      </c>
      <c r="D464" t="s">
        <v>6</v>
      </c>
      <c r="E464" t="s">
        <v>965</v>
      </c>
      <c r="F464" t="s">
        <v>965</v>
      </c>
      <c r="G464" t="s">
        <v>979</v>
      </c>
      <c r="H464">
        <v>9.6630000000000003</v>
      </c>
      <c r="J464">
        <v>105720648</v>
      </c>
      <c r="K464" s="2">
        <v>43431</v>
      </c>
      <c r="L464">
        <v>1</v>
      </c>
      <c r="M464">
        <v>1</v>
      </c>
      <c r="N464">
        <v>0</v>
      </c>
      <c r="O464">
        <v>1</v>
      </c>
      <c r="P464" t="s">
        <v>7</v>
      </c>
    </row>
    <row r="465" spans="1:16">
      <c r="A465" t="s">
        <v>1021</v>
      </c>
      <c r="B465" t="s">
        <v>1080</v>
      </c>
      <c r="C465">
        <v>0</v>
      </c>
      <c r="E465" t="s">
        <v>965</v>
      </c>
      <c r="F465" t="s">
        <v>1072</v>
      </c>
      <c r="G465" t="s">
        <v>968</v>
      </c>
      <c r="H465">
        <v>7.75</v>
      </c>
      <c r="J465">
        <v>105720653</v>
      </c>
      <c r="K465" s="2">
        <v>43428</v>
      </c>
      <c r="L465">
        <v>21</v>
      </c>
      <c r="M465">
        <v>2</v>
      </c>
      <c r="N465">
        <v>0</v>
      </c>
      <c r="O465">
        <v>1</v>
      </c>
      <c r="P465" t="s">
        <v>7</v>
      </c>
    </row>
    <row r="466" spans="1:16">
      <c r="A466" t="s">
        <v>1021</v>
      </c>
      <c r="B466" t="s">
        <v>1106</v>
      </c>
      <c r="C466">
        <v>0.01</v>
      </c>
      <c r="D466" t="s">
        <v>6</v>
      </c>
      <c r="E466" t="s">
        <v>965</v>
      </c>
      <c r="F466" t="s">
        <v>1072</v>
      </c>
      <c r="H466">
        <v>999.99900000000002</v>
      </c>
      <c r="J466">
        <v>106022020</v>
      </c>
      <c r="K466" s="2">
        <v>43721</v>
      </c>
      <c r="L466">
        <v>21</v>
      </c>
      <c r="M466">
        <v>1</v>
      </c>
      <c r="N466">
        <v>7</v>
      </c>
      <c r="O466">
        <v>4</v>
      </c>
      <c r="P466" t="s">
        <v>3</v>
      </c>
    </row>
    <row r="467" spans="1:16">
      <c r="A467" t="s">
        <v>1021</v>
      </c>
      <c r="B467" t="s">
        <v>964</v>
      </c>
      <c r="C467">
        <v>0.09</v>
      </c>
      <c r="D467" t="s">
        <v>763</v>
      </c>
      <c r="E467" t="s">
        <v>967</v>
      </c>
      <c r="F467" t="s">
        <v>968</v>
      </c>
      <c r="G467" t="s">
        <v>960</v>
      </c>
      <c r="H467">
        <v>0.63700000000000001</v>
      </c>
      <c r="J467">
        <v>106022033</v>
      </c>
      <c r="K467" s="2">
        <v>43735</v>
      </c>
      <c r="L467">
        <v>21</v>
      </c>
      <c r="M467">
        <v>1</v>
      </c>
      <c r="N467">
        <v>0</v>
      </c>
      <c r="O467">
        <v>1</v>
      </c>
      <c r="P467" t="s">
        <v>7</v>
      </c>
    </row>
    <row r="468" spans="1:16">
      <c r="A468" t="s">
        <v>1021</v>
      </c>
      <c r="B468" t="s">
        <v>1107</v>
      </c>
      <c r="C468">
        <v>1.9E-2</v>
      </c>
      <c r="D468" t="s">
        <v>758</v>
      </c>
      <c r="E468" t="s">
        <v>967</v>
      </c>
      <c r="F468" t="s">
        <v>965</v>
      </c>
      <c r="H468">
        <v>999.99900000000002</v>
      </c>
      <c r="J468">
        <v>107356174</v>
      </c>
      <c r="K468" s="2">
        <v>45082</v>
      </c>
      <c r="L468">
        <v>31</v>
      </c>
      <c r="M468">
        <v>1</v>
      </c>
      <c r="N468">
        <v>0</v>
      </c>
      <c r="O468">
        <v>1</v>
      </c>
      <c r="P468" t="s">
        <v>7</v>
      </c>
    </row>
    <row r="469" spans="1:16">
      <c r="A469" t="s">
        <v>1021</v>
      </c>
      <c r="B469" t="s">
        <v>965</v>
      </c>
      <c r="C469">
        <v>0</v>
      </c>
      <c r="E469" t="s">
        <v>979</v>
      </c>
      <c r="F469" t="s">
        <v>1032</v>
      </c>
      <c r="G469" t="s">
        <v>961</v>
      </c>
      <c r="H469">
        <v>1.5960000000000001</v>
      </c>
      <c r="J469">
        <v>105682091</v>
      </c>
      <c r="K469" s="2">
        <v>43410</v>
      </c>
      <c r="L469">
        <v>30</v>
      </c>
      <c r="M469">
        <v>2</v>
      </c>
      <c r="N469">
        <v>7</v>
      </c>
      <c r="O469">
        <v>1</v>
      </c>
      <c r="P469" t="s">
        <v>3</v>
      </c>
    </row>
    <row r="470" spans="1:16">
      <c r="A470" t="s">
        <v>1021</v>
      </c>
      <c r="B470" t="s">
        <v>1028</v>
      </c>
      <c r="C470">
        <v>0</v>
      </c>
      <c r="E470" t="s">
        <v>966</v>
      </c>
      <c r="F470" t="s">
        <v>1050</v>
      </c>
      <c r="H470">
        <v>999.99900000000002</v>
      </c>
      <c r="J470">
        <v>105894326</v>
      </c>
      <c r="K470" s="2">
        <v>43613</v>
      </c>
      <c r="L470">
        <v>24</v>
      </c>
      <c r="M470">
        <v>1</v>
      </c>
      <c r="N470">
        <v>7</v>
      </c>
      <c r="O470">
        <v>1</v>
      </c>
      <c r="P470" t="s">
        <v>7</v>
      </c>
    </row>
    <row r="471" spans="1:16">
      <c r="A471" t="s">
        <v>1021</v>
      </c>
      <c r="B471" t="s">
        <v>965</v>
      </c>
      <c r="C471">
        <v>3.7999999999999999E-2</v>
      </c>
      <c r="D471" t="s">
        <v>6</v>
      </c>
      <c r="E471" t="s">
        <v>963</v>
      </c>
      <c r="F471" t="s">
        <v>1020</v>
      </c>
      <c r="G471" t="s">
        <v>961</v>
      </c>
      <c r="H471">
        <v>0.249</v>
      </c>
      <c r="J471">
        <v>105919405</v>
      </c>
      <c r="K471" s="2">
        <v>43622</v>
      </c>
      <c r="L471">
        <v>30</v>
      </c>
      <c r="M471">
        <v>1</v>
      </c>
      <c r="N471">
        <v>0</v>
      </c>
      <c r="O471">
        <v>1</v>
      </c>
      <c r="P471" t="s">
        <v>7</v>
      </c>
    </row>
    <row r="472" spans="1:16">
      <c r="A472" t="s">
        <v>1021</v>
      </c>
      <c r="B472" t="s">
        <v>965</v>
      </c>
      <c r="C472">
        <v>0</v>
      </c>
      <c r="E472" t="s">
        <v>1062</v>
      </c>
      <c r="F472" t="s">
        <v>1061</v>
      </c>
      <c r="G472" t="s">
        <v>1063</v>
      </c>
      <c r="H472">
        <v>0.53900000000000003</v>
      </c>
      <c r="J472">
        <v>105849289</v>
      </c>
      <c r="K472" s="2">
        <v>43556</v>
      </c>
      <c r="L472">
        <v>21</v>
      </c>
      <c r="M472">
        <v>1</v>
      </c>
      <c r="N472">
        <v>8</v>
      </c>
      <c r="O472">
        <v>5</v>
      </c>
      <c r="P472" t="s">
        <v>7</v>
      </c>
    </row>
    <row r="473" spans="1:16">
      <c r="A473" t="s">
        <v>1021</v>
      </c>
      <c r="B473" t="s">
        <v>965</v>
      </c>
      <c r="C473">
        <v>0</v>
      </c>
      <c r="E473" t="s">
        <v>968</v>
      </c>
      <c r="F473" t="s">
        <v>1108</v>
      </c>
      <c r="G473" t="s">
        <v>962</v>
      </c>
      <c r="H473">
        <v>2.1920000000000002</v>
      </c>
      <c r="J473">
        <v>105861773</v>
      </c>
      <c r="K473" s="2">
        <v>43593</v>
      </c>
      <c r="L473">
        <v>21</v>
      </c>
      <c r="M473">
        <v>1</v>
      </c>
      <c r="N473">
        <v>0</v>
      </c>
      <c r="O473">
        <v>1</v>
      </c>
      <c r="P473" t="s">
        <v>7</v>
      </c>
    </row>
    <row r="474" spans="1:16">
      <c r="A474" t="s">
        <v>1021</v>
      </c>
      <c r="B474" t="s">
        <v>962</v>
      </c>
      <c r="C474">
        <v>3.3000000000000002E-2</v>
      </c>
      <c r="D474" t="s">
        <v>756</v>
      </c>
      <c r="E474" t="s">
        <v>968</v>
      </c>
      <c r="F474" t="s">
        <v>960</v>
      </c>
      <c r="G474" t="s">
        <v>962</v>
      </c>
      <c r="H474">
        <v>2.1920000000000002</v>
      </c>
      <c r="J474">
        <v>105933809</v>
      </c>
      <c r="K474" s="2">
        <v>43651</v>
      </c>
      <c r="L474">
        <v>21</v>
      </c>
      <c r="M474">
        <v>1</v>
      </c>
      <c r="N474">
        <v>0</v>
      </c>
      <c r="O474">
        <v>1</v>
      </c>
      <c r="P474" t="s">
        <v>7</v>
      </c>
    </row>
    <row r="475" spans="1:16">
      <c r="A475" t="s">
        <v>1021</v>
      </c>
      <c r="B475" t="s">
        <v>968</v>
      </c>
      <c r="C475">
        <v>1.2E-2</v>
      </c>
      <c r="D475" t="s">
        <v>757</v>
      </c>
      <c r="E475" t="s">
        <v>964</v>
      </c>
      <c r="F475" t="s">
        <v>1045</v>
      </c>
      <c r="G475" t="s">
        <v>968</v>
      </c>
      <c r="H475">
        <v>8.1329999999999991</v>
      </c>
      <c r="J475">
        <v>105894351</v>
      </c>
      <c r="K475" s="2">
        <v>43600</v>
      </c>
      <c r="L475">
        <v>21</v>
      </c>
      <c r="M475">
        <v>1</v>
      </c>
      <c r="N475">
        <v>7</v>
      </c>
      <c r="O475">
        <v>1</v>
      </c>
      <c r="P475" t="s">
        <v>3</v>
      </c>
    </row>
    <row r="476" spans="1:16">
      <c r="A476" t="s">
        <v>1021</v>
      </c>
      <c r="B476" t="s">
        <v>966</v>
      </c>
      <c r="C476">
        <v>0</v>
      </c>
      <c r="E476" t="s">
        <v>1028</v>
      </c>
      <c r="F476" t="s">
        <v>1050</v>
      </c>
      <c r="H476">
        <v>999.99900000000002</v>
      </c>
      <c r="J476">
        <v>105864810</v>
      </c>
      <c r="K476" s="2">
        <v>43584</v>
      </c>
      <c r="L476">
        <v>23</v>
      </c>
      <c r="M476">
        <v>1</v>
      </c>
      <c r="N476">
        <v>7</v>
      </c>
      <c r="O476">
        <v>1</v>
      </c>
      <c r="P476" t="s">
        <v>7</v>
      </c>
    </row>
    <row r="477" spans="1:16">
      <c r="A477" t="s">
        <v>1021</v>
      </c>
      <c r="B477" t="s">
        <v>965</v>
      </c>
      <c r="C477">
        <v>0</v>
      </c>
      <c r="E477" t="s">
        <v>979</v>
      </c>
      <c r="F477" t="s">
        <v>1032</v>
      </c>
      <c r="G477" t="s">
        <v>961</v>
      </c>
      <c r="H477">
        <v>1.5960000000000001</v>
      </c>
      <c r="J477">
        <v>105847993</v>
      </c>
      <c r="K477" s="2">
        <v>43559</v>
      </c>
      <c r="L477">
        <v>21</v>
      </c>
      <c r="M477">
        <v>1</v>
      </c>
      <c r="N477">
        <v>8</v>
      </c>
      <c r="O477">
        <v>1</v>
      </c>
      <c r="P477" t="s">
        <v>7</v>
      </c>
    </row>
    <row r="478" spans="1:16">
      <c r="A478" t="s">
        <v>1021</v>
      </c>
      <c r="B478" t="s">
        <v>964</v>
      </c>
      <c r="C478">
        <v>0</v>
      </c>
      <c r="E478" t="s">
        <v>1109</v>
      </c>
      <c r="F478" t="s">
        <v>964</v>
      </c>
      <c r="H478">
        <v>999.99900000000002</v>
      </c>
      <c r="J478">
        <v>105881672</v>
      </c>
      <c r="K478" s="2">
        <v>43589</v>
      </c>
      <c r="L478">
        <v>25</v>
      </c>
      <c r="M478">
        <v>1</v>
      </c>
      <c r="N478">
        <v>10</v>
      </c>
      <c r="O478">
        <v>1</v>
      </c>
      <c r="P478" t="s">
        <v>7</v>
      </c>
    </row>
    <row r="479" spans="1:16">
      <c r="A479" t="s">
        <v>1021</v>
      </c>
      <c r="B479" t="s">
        <v>968</v>
      </c>
      <c r="C479">
        <v>0</v>
      </c>
      <c r="E479" t="s">
        <v>964</v>
      </c>
      <c r="F479" t="s">
        <v>1110</v>
      </c>
      <c r="G479" t="s">
        <v>968</v>
      </c>
      <c r="H479">
        <v>8.1210000000000004</v>
      </c>
      <c r="J479">
        <v>105881694</v>
      </c>
      <c r="K479" s="2">
        <v>43586</v>
      </c>
      <c r="L479">
        <v>21</v>
      </c>
      <c r="M479">
        <v>1</v>
      </c>
      <c r="N479">
        <v>7</v>
      </c>
      <c r="O479">
        <v>1</v>
      </c>
      <c r="P479" t="s">
        <v>7</v>
      </c>
    </row>
    <row r="480" spans="1:16">
      <c r="A480" t="s">
        <v>1021</v>
      </c>
      <c r="B480" t="s">
        <v>963</v>
      </c>
      <c r="C480">
        <v>5.0000000000000001E-3</v>
      </c>
      <c r="D480" t="s">
        <v>756</v>
      </c>
      <c r="E480" t="s">
        <v>968</v>
      </c>
      <c r="F480" t="s">
        <v>965</v>
      </c>
      <c r="H480">
        <v>999.99900000000002</v>
      </c>
      <c r="J480">
        <v>105881697</v>
      </c>
      <c r="K480" s="2">
        <v>43589</v>
      </c>
      <c r="L480">
        <v>2</v>
      </c>
      <c r="M480">
        <v>2</v>
      </c>
      <c r="N480">
        <v>8</v>
      </c>
      <c r="O480">
        <v>5</v>
      </c>
      <c r="P480" t="s">
        <v>7</v>
      </c>
    </row>
    <row r="481" spans="1:16">
      <c r="A481" t="s">
        <v>1021</v>
      </c>
      <c r="B481" t="s">
        <v>965</v>
      </c>
      <c r="C481">
        <v>0.1</v>
      </c>
      <c r="D481" t="s">
        <v>758</v>
      </c>
      <c r="E481" t="s">
        <v>1052</v>
      </c>
      <c r="F481" t="s">
        <v>1064</v>
      </c>
      <c r="G481" t="s">
        <v>961</v>
      </c>
      <c r="H481">
        <v>1.331</v>
      </c>
      <c r="J481">
        <v>105881708</v>
      </c>
      <c r="K481" s="2">
        <v>43585</v>
      </c>
      <c r="L481">
        <v>21</v>
      </c>
      <c r="M481">
        <v>1</v>
      </c>
      <c r="O481">
        <v>1</v>
      </c>
      <c r="P481" t="s">
        <v>7</v>
      </c>
    </row>
    <row r="482" spans="1:16">
      <c r="A482" t="s">
        <v>754</v>
      </c>
      <c r="B482" t="s">
        <v>961</v>
      </c>
      <c r="C482">
        <v>0.3</v>
      </c>
      <c r="D482" t="s">
        <v>756</v>
      </c>
      <c r="E482" t="s">
        <v>968</v>
      </c>
      <c r="F482" t="s">
        <v>973</v>
      </c>
      <c r="G482" t="s">
        <v>961</v>
      </c>
      <c r="H482">
        <v>0.3</v>
      </c>
      <c r="J482">
        <v>105844062</v>
      </c>
      <c r="K482" s="2">
        <v>43572</v>
      </c>
      <c r="L482">
        <v>21</v>
      </c>
      <c r="M482">
        <v>1</v>
      </c>
      <c r="N482">
        <v>0</v>
      </c>
      <c r="O482">
        <v>1</v>
      </c>
      <c r="P482" t="s">
        <v>7</v>
      </c>
    </row>
    <row r="483" spans="1:16">
      <c r="A483" t="s">
        <v>1021</v>
      </c>
      <c r="B483" t="s">
        <v>964</v>
      </c>
      <c r="C483">
        <v>0.2</v>
      </c>
      <c r="D483" t="s">
        <v>764</v>
      </c>
      <c r="E483" t="s">
        <v>968</v>
      </c>
      <c r="F483" t="s">
        <v>1072</v>
      </c>
      <c r="G483" t="s">
        <v>960</v>
      </c>
      <c r="H483">
        <v>0.2</v>
      </c>
      <c r="J483">
        <v>105752254</v>
      </c>
      <c r="K483" s="2">
        <v>43469</v>
      </c>
      <c r="L483">
        <v>1</v>
      </c>
      <c r="M483">
        <v>2</v>
      </c>
      <c r="N483">
        <v>0</v>
      </c>
      <c r="O483">
        <v>1</v>
      </c>
      <c r="P483" t="s">
        <v>7</v>
      </c>
    </row>
    <row r="484" spans="1:16">
      <c r="A484" t="s">
        <v>1021</v>
      </c>
      <c r="B484" t="s">
        <v>965</v>
      </c>
      <c r="C484">
        <v>0</v>
      </c>
      <c r="E484" t="s">
        <v>1039</v>
      </c>
      <c r="F484" t="s">
        <v>1056</v>
      </c>
      <c r="G484" t="s">
        <v>961</v>
      </c>
      <c r="H484">
        <v>0.83899999999999997</v>
      </c>
      <c r="J484">
        <v>105864809</v>
      </c>
      <c r="K484" s="2">
        <v>43570</v>
      </c>
      <c r="L484">
        <v>30</v>
      </c>
      <c r="M484">
        <v>1</v>
      </c>
      <c r="N484">
        <v>8</v>
      </c>
      <c r="O484">
        <v>1</v>
      </c>
      <c r="P484" t="s">
        <v>3</v>
      </c>
    </row>
    <row r="485" spans="1:16">
      <c r="A485" t="s">
        <v>1021</v>
      </c>
      <c r="B485" t="s">
        <v>965</v>
      </c>
      <c r="C485">
        <v>0</v>
      </c>
      <c r="E485" t="s">
        <v>1023</v>
      </c>
      <c r="F485" t="s">
        <v>1039</v>
      </c>
      <c r="G485" t="s">
        <v>961</v>
      </c>
      <c r="H485">
        <v>0.66500000000000004</v>
      </c>
      <c r="J485">
        <v>106000030</v>
      </c>
      <c r="K485" s="2">
        <v>43709</v>
      </c>
      <c r="L485">
        <v>30</v>
      </c>
      <c r="M485">
        <v>1</v>
      </c>
      <c r="N485">
        <v>7</v>
      </c>
      <c r="O485">
        <v>1</v>
      </c>
      <c r="P485" t="s">
        <v>8</v>
      </c>
    </row>
    <row r="486" spans="1:16">
      <c r="A486" t="s">
        <v>1021</v>
      </c>
      <c r="B486" t="s">
        <v>968</v>
      </c>
      <c r="C486">
        <v>0</v>
      </c>
      <c r="E486" t="s">
        <v>964</v>
      </c>
      <c r="F486" t="s">
        <v>1045</v>
      </c>
      <c r="G486" t="s">
        <v>968</v>
      </c>
      <c r="H486">
        <v>8.1210000000000004</v>
      </c>
      <c r="J486">
        <v>106001236</v>
      </c>
      <c r="K486" s="2">
        <v>43714</v>
      </c>
      <c r="L486">
        <v>21</v>
      </c>
      <c r="M486">
        <v>1</v>
      </c>
      <c r="N486">
        <v>7</v>
      </c>
      <c r="O486">
        <v>5</v>
      </c>
      <c r="P486" t="s">
        <v>7</v>
      </c>
    </row>
    <row r="487" spans="1:16">
      <c r="A487" t="s">
        <v>1021</v>
      </c>
      <c r="B487" t="s">
        <v>965</v>
      </c>
      <c r="C487">
        <v>0.114</v>
      </c>
      <c r="D487" t="s">
        <v>758</v>
      </c>
      <c r="E487" t="s">
        <v>967</v>
      </c>
      <c r="F487" t="s">
        <v>1111</v>
      </c>
      <c r="G487" t="s">
        <v>961</v>
      </c>
      <c r="H487">
        <v>9.7000000000000003E-2</v>
      </c>
      <c r="J487">
        <v>105934950</v>
      </c>
      <c r="K487" s="2">
        <v>43626</v>
      </c>
      <c r="L487">
        <v>30</v>
      </c>
      <c r="M487">
        <v>1</v>
      </c>
      <c r="N487">
        <v>8</v>
      </c>
      <c r="O487">
        <v>1</v>
      </c>
      <c r="P487" t="s">
        <v>7</v>
      </c>
    </row>
    <row r="488" spans="1:16">
      <c r="A488" t="s">
        <v>1021</v>
      </c>
      <c r="B488" t="s">
        <v>965</v>
      </c>
      <c r="C488">
        <v>1.2E-2</v>
      </c>
      <c r="D488" t="s">
        <v>756</v>
      </c>
      <c r="E488" t="s">
        <v>1054</v>
      </c>
      <c r="F488" t="s">
        <v>1032</v>
      </c>
      <c r="G488" t="s">
        <v>961</v>
      </c>
      <c r="H488">
        <v>1.7350000000000001</v>
      </c>
      <c r="J488">
        <v>107847003</v>
      </c>
      <c r="K488" s="2">
        <v>45547</v>
      </c>
      <c r="L488">
        <v>24</v>
      </c>
      <c r="M488">
        <v>1</v>
      </c>
      <c r="N488">
        <v>0</v>
      </c>
      <c r="O488">
        <v>1</v>
      </c>
      <c r="P488" t="s">
        <v>7</v>
      </c>
    </row>
    <row r="489" spans="1:16">
      <c r="A489" t="s">
        <v>1021</v>
      </c>
      <c r="B489" t="s">
        <v>967</v>
      </c>
      <c r="C489">
        <v>0</v>
      </c>
      <c r="E489" t="s">
        <v>965</v>
      </c>
      <c r="F489" t="s">
        <v>963</v>
      </c>
      <c r="G489" t="s">
        <v>960</v>
      </c>
      <c r="H489">
        <v>1.4890000000000001</v>
      </c>
      <c r="J489">
        <v>105984439</v>
      </c>
      <c r="K489" s="2">
        <v>43699</v>
      </c>
      <c r="L489">
        <v>21</v>
      </c>
      <c r="M489">
        <v>1</v>
      </c>
      <c r="N489">
        <v>7</v>
      </c>
      <c r="O489">
        <v>1</v>
      </c>
      <c r="P489" t="s">
        <v>3</v>
      </c>
    </row>
    <row r="490" spans="1:16">
      <c r="A490" t="s">
        <v>1021</v>
      </c>
      <c r="B490" t="s">
        <v>965</v>
      </c>
      <c r="C490">
        <v>0.1</v>
      </c>
      <c r="D490" t="s">
        <v>758</v>
      </c>
      <c r="E490" t="s">
        <v>967</v>
      </c>
      <c r="F490" t="s">
        <v>968</v>
      </c>
      <c r="G490" t="s">
        <v>961</v>
      </c>
      <c r="H490">
        <v>0.111</v>
      </c>
      <c r="J490">
        <v>106000020</v>
      </c>
      <c r="K490" s="2">
        <v>43706</v>
      </c>
      <c r="L490">
        <v>30</v>
      </c>
      <c r="M490">
        <v>1</v>
      </c>
      <c r="N490">
        <v>8</v>
      </c>
      <c r="O490">
        <v>1</v>
      </c>
      <c r="P490" t="s">
        <v>3</v>
      </c>
    </row>
    <row r="491" spans="1:16">
      <c r="A491" t="s">
        <v>1021</v>
      </c>
      <c r="B491" t="s">
        <v>965</v>
      </c>
      <c r="C491">
        <v>0</v>
      </c>
      <c r="E491" t="s">
        <v>1064</v>
      </c>
      <c r="F491" t="s">
        <v>1056</v>
      </c>
      <c r="G491" t="s">
        <v>961</v>
      </c>
      <c r="H491">
        <v>1.405</v>
      </c>
      <c r="J491">
        <v>106000047</v>
      </c>
      <c r="K491" s="2">
        <v>43715</v>
      </c>
      <c r="L491">
        <v>30</v>
      </c>
      <c r="M491">
        <v>1</v>
      </c>
      <c r="N491">
        <v>7</v>
      </c>
      <c r="O491">
        <v>4</v>
      </c>
      <c r="P491" t="s">
        <v>3</v>
      </c>
    </row>
    <row r="492" spans="1:16">
      <c r="A492" t="s">
        <v>1021</v>
      </c>
      <c r="B492" t="s">
        <v>965</v>
      </c>
      <c r="C492">
        <v>0</v>
      </c>
      <c r="E492" t="s">
        <v>1033</v>
      </c>
      <c r="G492" t="s">
        <v>961</v>
      </c>
      <c r="H492">
        <v>1.893</v>
      </c>
      <c r="J492">
        <v>107999203</v>
      </c>
      <c r="K492" s="2">
        <v>45679</v>
      </c>
      <c r="L492">
        <v>30</v>
      </c>
      <c r="M492">
        <v>4</v>
      </c>
      <c r="N492">
        <v>7</v>
      </c>
      <c r="O492">
        <v>1</v>
      </c>
      <c r="P492" t="s">
        <v>7</v>
      </c>
    </row>
    <row r="493" spans="1:16">
      <c r="A493" t="s">
        <v>1021</v>
      </c>
      <c r="B493" t="s">
        <v>968</v>
      </c>
      <c r="C493">
        <v>4.0000000000000001E-3</v>
      </c>
      <c r="D493" t="s">
        <v>762</v>
      </c>
      <c r="E493" t="s">
        <v>965</v>
      </c>
      <c r="F493" t="s">
        <v>963</v>
      </c>
      <c r="G493" t="s">
        <v>968</v>
      </c>
      <c r="H493">
        <v>7.7460000000000004</v>
      </c>
      <c r="J493">
        <v>107816885</v>
      </c>
      <c r="K493" s="2">
        <v>45518</v>
      </c>
      <c r="L493">
        <v>21</v>
      </c>
      <c r="M493">
        <v>1</v>
      </c>
      <c r="N493">
        <v>7</v>
      </c>
      <c r="O493">
        <v>1</v>
      </c>
      <c r="P493" t="s">
        <v>7</v>
      </c>
    </row>
    <row r="494" spans="1:16">
      <c r="A494" t="s">
        <v>1021</v>
      </c>
      <c r="B494" t="s">
        <v>968</v>
      </c>
      <c r="C494">
        <v>2.7E-2</v>
      </c>
      <c r="D494" t="s">
        <v>757</v>
      </c>
      <c r="E494" t="s">
        <v>964</v>
      </c>
      <c r="F494" t="s">
        <v>1045</v>
      </c>
      <c r="G494" t="s">
        <v>968</v>
      </c>
      <c r="H494">
        <v>8.1479999999999997</v>
      </c>
      <c r="J494">
        <v>105720586</v>
      </c>
      <c r="K494" s="2">
        <v>43411</v>
      </c>
      <c r="L494">
        <v>28</v>
      </c>
      <c r="M494">
        <v>1</v>
      </c>
      <c r="N494">
        <v>0</v>
      </c>
      <c r="O494">
        <v>5</v>
      </c>
      <c r="P494" t="s">
        <v>7</v>
      </c>
    </row>
    <row r="495" spans="1:16">
      <c r="A495" t="s">
        <v>1021</v>
      </c>
      <c r="B495" t="s">
        <v>1112</v>
      </c>
      <c r="C495">
        <v>8.9999999999999993E-3</v>
      </c>
      <c r="D495" t="s">
        <v>757</v>
      </c>
      <c r="E495" t="s">
        <v>965</v>
      </c>
      <c r="F495" t="s">
        <v>1033</v>
      </c>
      <c r="H495">
        <v>999.99900000000002</v>
      </c>
      <c r="J495">
        <v>105864806</v>
      </c>
      <c r="K495" s="2">
        <v>43571</v>
      </c>
      <c r="L495">
        <v>30</v>
      </c>
      <c r="M495">
        <v>1</v>
      </c>
      <c r="N495">
        <v>0</v>
      </c>
      <c r="O495">
        <v>1</v>
      </c>
      <c r="P495" t="s">
        <v>7</v>
      </c>
    </row>
    <row r="496" spans="1:16">
      <c r="A496" t="s">
        <v>1021</v>
      </c>
      <c r="B496" t="s">
        <v>965</v>
      </c>
      <c r="C496">
        <v>0</v>
      </c>
      <c r="E496" t="s">
        <v>979</v>
      </c>
      <c r="F496" t="s">
        <v>1054</v>
      </c>
      <c r="G496" t="s">
        <v>961</v>
      </c>
      <c r="H496">
        <v>1.5960000000000001</v>
      </c>
      <c r="J496">
        <v>105881669</v>
      </c>
      <c r="K496" s="2">
        <v>43592</v>
      </c>
      <c r="L496">
        <v>21</v>
      </c>
      <c r="M496">
        <v>1</v>
      </c>
      <c r="N496">
        <v>7</v>
      </c>
      <c r="O496">
        <v>1</v>
      </c>
      <c r="P496" t="s">
        <v>7</v>
      </c>
    </row>
    <row r="497" spans="1:16">
      <c r="A497" t="s">
        <v>1021</v>
      </c>
      <c r="B497" t="s">
        <v>1032</v>
      </c>
      <c r="C497">
        <v>8.9999999999999993E-3</v>
      </c>
      <c r="D497" t="s">
        <v>6</v>
      </c>
      <c r="E497" t="s">
        <v>965</v>
      </c>
      <c r="F497" t="s">
        <v>979</v>
      </c>
      <c r="G497" t="s">
        <v>1032</v>
      </c>
      <c r="H497">
        <v>0.111</v>
      </c>
      <c r="J497">
        <v>105881690</v>
      </c>
      <c r="K497" s="2">
        <v>43591</v>
      </c>
      <c r="L497">
        <v>21</v>
      </c>
      <c r="M497">
        <v>1</v>
      </c>
      <c r="O497">
        <v>1</v>
      </c>
      <c r="P497" t="s">
        <v>3</v>
      </c>
    </row>
    <row r="498" spans="1:16">
      <c r="A498" t="s">
        <v>1021</v>
      </c>
      <c r="B498" t="s">
        <v>965</v>
      </c>
      <c r="C498">
        <v>2E-3</v>
      </c>
      <c r="D498" t="s">
        <v>758</v>
      </c>
      <c r="E498" t="s">
        <v>979</v>
      </c>
      <c r="F498" t="s">
        <v>1113</v>
      </c>
      <c r="G498" t="s">
        <v>961</v>
      </c>
      <c r="H498">
        <v>1.5940000000000001</v>
      </c>
      <c r="J498">
        <v>105919394</v>
      </c>
      <c r="K498" s="2">
        <v>43628</v>
      </c>
      <c r="L498">
        <v>21</v>
      </c>
      <c r="M498">
        <v>2</v>
      </c>
      <c r="N498">
        <v>8</v>
      </c>
      <c r="O498">
        <v>1</v>
      </c>
      <c r="P498" t="s">
        <v>7</v>
      </c>
    </row>
    <row r="499" spans="1:16">
      <c r="A499" t="s">
        <v>1021</v>
      </c>
      <c r="B499" t="s">
        <v>1114</v>
      </c>
      <c r="C499">
        <v>0</v>
      </c>
      <c r="D499" t="s">
        <v>758</v>
      </c>
      <c r="E499" t="s">
        <v>967</v>
      </c>
      <c r="F499" t="s">
        <v>968</v>
      </c>
      <c r="H499">
        <v>999.99900000000002</v>
      </c>
      <c r="J499">
        <v>106064195</v>
      </c>
      <c r="K499" s="2">
        <v>43767</v>
      </c>
      <c r="L499">
        <v>0</v>
      </c>
      <c r="M499">
        <v>1</v>
      </c>
      <c r="N499">
        <v>0</v>
      </c>
      <c r="O499">
        <v>1</v>
      </c>
    </row>
    <row r="500" spans="1:16">
      <c r="A500" t="s">
        <v>1021</v>
      </c>
      <c r="B500" t="s">
        <v>965</v>
      </c>
      <c r="C500">
        <v>0</v>
      </c>
      <c r="E500" t="s">
        <v>1032</v>
      </c>
      <c r="F500" t="s">
        <v>1071</v>
      </c>
      <c r="G500" t="s">
        <v>961</v>
      </c>
      <c r="H500">
        <v>1.843</v>
      </c>
      <c r="J500">
        <v>106064223</v>
      </c>
      <c r="K500" s="2">
        <v>43766</v>
      </c>
      <c r="L500">
        <v>23</v>
      </c>
      <c r="M500">
        <v>1</v>
      </c>
      <c r="N500">
        <v>7</v>
      </c>
      <c r="O500">
        <v>1</v>
      </c>
      <c r="P500" t="s">
        <v>7</v>
      </c>
    </row>
    <row r="501" spans="1:16">
      <c r="A501" t="s">
        <v>1021</v>
      </c>
      <c r="B501" t="s">
        <v>968</v>
      </c>
      <c r="C501">
        <v>0</v>
      </c>
      <c r="E501" t="s">
        <v>965</v>
      </c>
      <c r="F501" t="s">
        <v>963</v>
      </c>
      <c r="G501" t="s">
        <v>968</v>
      </c>
      <c r="H501">
        <v>7.75</v>
      </c>
      <c r="J501">
        <v>106993946</v>
      </c>
      <c r="K501" s="2">
        <v>44733</v>
      </c>
      <c r="L501">
        <v>21</v>
      </c>
      <c r="M501">
        <v>1</v>
      </c>
      <c r="N501">
        <v>7</v>
      </c>
      <c r="O501">
        <v>2</v>
      </c>
      <c r="P501" t="s">
        <v>8</v>
      </c>
    </row>
    <row r="502" spans="1:16">
      <c r="A502" t="s">
        <v>1021</v>
      </c>
      <c r="B502" t="s">
        <v>965</v>
      </c>
      <c r="C502">
        <v>2E-3</v>
      </c>
      <c r="D502" t="s">
        <v>756</v>
      </c>
      <c r="E502" t="s">
        <v>1023</v>
      </c>
      <c r="F502" t="s">
        <v>967</v>
      </c>
      <c r="G502" t="s">
        <v>961</v>
      </c>
      <c r="H502">
        <v>0.66700000000000004</v>
      </c>
      <c r="J502">
        <v>106064301</v>
      </c>
      <c r="K502" s="2">
        <v>43751</v>
      </c>
      <c r="L502">
        <v>21</v>
      </c>
      <c r="M502">
        <v>2</v>
      </c>
      <c r="N502">
        <v>0</v>
      </c>
      <c r="O502">
        <v>1</v>
      </c>
      <c r="P502" t="s">
        <v>7</v>
      </c>
    </row>
    <row r="503" spans="1:16">
      <c r="A503" t="s">
        <v>1021</v>
      </c>
      <c r="B503" t="s">
        <v>965</v>
      </c>
      <c r="C503">
        <v>0</v>
      </c>
      <c r="E503" t="s">
        <v>1023</v>
      </c>
      <c r="F503" t="s">
        <v>1039</v>
      </c>
      <c r="G503" t="s">
        <v>961</v>
      </c>
      <c r="H503">
        <v>0.66500000000000004</v>
      </c>
      <c r="J503">
        <v>106064309</v>
      </c>
      <c r="K503" s="2">
        <v>43756</v>
      </c>
      <c r="L503">
        <v>21</v>
      </c>
      <c r="M503">
        <v>1</v>
      </c>
      <c r="N503">
        <v>7</v>
      </c>
      <c r="O503">
        <v>3</v>
      </c>
      <c r="P503" t="s">
        <v>7</v>
      </c>
    </row>
    <row r="504" spans="1:16">
      <c r="A504" t="s">
        <v>1021</v>
      </c>
      <c r="B504" t="s">
        <v>966</v>
      </c>
      <c r="C504">
        <v>0</v>
      </c>
      <c r="E504" t="s">
        <v>1028</v>
      </c>
      <c r="F504" t="s">
        <v>969</v>
      </c>
      <c r="H504">
        <v>999.99900000000002</v>
      </c>
      <c r="J504">
        <v>106064818</v>
      </c>
      <c r="K504" s="2">
        <v>43765</v>
      </c>
      <c r="L504">
        <v>30</v>
      </c>
      <c r="M504">
        <v>1</v>
      </c>
      <c r="N504">
        <v>7</v>
      </c>
      <c r="O504">
        <v>2</v>
      </c>
      <c r="P504" t="s">
        <v>3</v>
      </c>
    </row>
    <row r="505" spans="1:16">
      <c r="A505" t="s">
        <v>1021</v>
      </c>
      <c r="B505" t="s">
        <v>965</v>
      </c>
      <c r="C505">
        <v>0</v>
      </c>
      <c r="D505" t="s">
        <v>756</v>
      </c>
      <c r="E505" t="s">
        <v>968</v>
      </c>
      <c r="F505" t="s">
        <v>963</v>
      </c>
      <c r="G505" t="s">
        <v>962</v>
      </c>
      <c r="H505">
        <v>2.1920000000000002</v>
      </c>
      <c r="J505">
        <v>105329619</v>
      </c>
      <c r="K505" s="2">
        <v>43078</v>
      </c>
      <c r="L505">
        <v>24</v>
      </c>
      <c r="M505">
        <v>2</v>
      </c>
      <c r="N505">
        <v>4</v>
      </c>
      <c r="O505">
        <v>1</v>
      </c>
      <c r="P505" t="s">
        <v>7</v>
      </c>
    </row>
    <row r="506" spans="1:16">
      <c r="A506" t="s">
        <v>1021</v>
      </c>
      <c r="B506" t="s">
        <v>965</v>
      </c>
      <c r="C506">
        <v>0</v>
      </c>
      <c r="E506" t="s">
        <v>967</v>
      </c>
      <c r="F506" t="s">
        <v>963</v>
      </c>
      <c r="G506" t="s">
        <v>961</v>
      </c>
      <c r="H506">
        <v>0.21099999999999999</v>
      </c>
      <c r="J506">
        <v>107555301</v>
      </c>
      <c r="K506" s="2">
        <v>45268</v>
      </c>
      <c r="L506">
        <v>24</v>
      </c>
      <c r="M506">
        <v>1</v>
      </c>
      <c r="N506">
        <v>7</v>
      </c>
      <c r="O506">
        <v>1</v>
      </c>
      <c r="P506" t="s">
        <v>7</v>
      </c>
    </row>
    <row r="507" spans="1:16">
      <c r="A507" t="s">
        <v>1021</v>
      </c>
      <c r="B507" t="s">
        <v>965</v>
      </c>
      <c r="C507">
        <v>0</v>
      </c>
      <c r="E507" t="s">
        <v>1033</v>
      </c>
      <c r="F507" t="s">
        <v>1032</v>
      </c>
      <c r="G507" t="s">
        <v>961</v>
      </c>
      <c r="H507">
        <v>1.893</v>
      </c>
      <c r="J507">
        <v>105925807</v>
      </c>
      <c r="K507" s="2">
        <v>43637</v>
      </c>
      <c r="L507">
        <v>27</v>
      </c>
      <c r="M507">
        <v>1</v>
      </c>
      <c r="N507">
        <v>7</v>
      </c>
      <c r="O507">
        <v>1</v>
      </c>
      <c r="P507" t="s">
        <v>8</v>
      </c>
    </row>
    <row r="508" spans="1:16">
      <c r="A508" t="s">
        <v>1021</v>
      </c>
      <c r="B508" t="s">
        <v>1115</v>
      </c>
      <c r="C508">
        <v>1.4999999999999999E-2</v>
      </c>
      <c r="D508" t="s">
        <v>757</v>
      </c>
      <c r="E508" t="s">
        <v>963</v>
      </c>
      <c r="F508" t="s">
        <v>965</v>
      </c>
      <c r="H508">
        <v>999.99900000000002</v>
      </c>
      <c r="J508">
        <v>106022000</v>
      </c>
      <c r="K508" s="2">
        <v>43724</v>
      </c>
      <c r="L508">
        <v>30</v>
      </c>
      <c r="M508">
        <v>1</v>
      </c>
      <c r="N508">
        <v>4</v>
      </c>
      <c r="O508">
        <v>1</v>
      </c>
      <c r="P508" t="s">
        <v>7</v>
      </c>
    </row>
    <row r="509" spans="1:16">
      <c r="A509" t="s">
        <v>1021</v>
      </c>
      <c r="B509" t="s">
        <v>965</v>
      </c>
      <c r="C509">
        <v>0</v>
      </c>
      <c r="E509" t="s">
        <v>1033</v>
      </c>
      <c r="F509" t="s">
        <v>1083</v>
      </c>
      <c r="G509" t="s">
        <v>961</v>
      </c>
      <c r="H509">
        <v>1.893</v>
      </c>
      <c r="J509">
        <v>105984049</v>
      </c>
      <c r="K509" s="2">
        <v>43695</v>
      </c>
      <c r="L509">
        <v>23</v>
      </c>
      <c r="M509">
        <v>1</v>
      </c>
      <c r="N509">
        <v>7</v>
      </c>
      <c r="O509">
        <v>1</v>
      </c>
      <c r="P509" t="s">
        <v>7</v>
      </c>
    </row>
    <row r="510" spans="1:16">
      <c r="A510" t="s">
        <v>1021</v>
      </c>
      <c r="B510" t="s">
        <v>962</v>
      </c>
      <c r="C510">
        <v>4.0000000000000001E-3</v>
      </c>
      <c r="D510" t="s">
        <v>756</v>
      </c>
      <c r="E510" t="s">
        <v>968</v>
      </c>
      <c r="F510" t="s">
        <v>960</v>
      </c>
      <c r="G510" t="s">
        <v>962</v>
      </c>
      <c r="H510">
        <v>2.1920000000000002</v>
      </c>
      <c r="J510">
        <v>105954816</v>
      </c>
      <c r="K510" s="2">
        <v>43682</v>
      </c>
      <c r="L510">
        <v>26</v>
      </c>
      <c r="M510">
        <v>1</v>
      </c>
      <c r="N510">
        <v>12</v>
      </c>
      <c r="O510">
        <v>1</v>
      </c>
      <c r="P510" t="s">
        <v>7</v>
      </c>
    </row>
    <row r="511" spans="1:16">
      <c r="A511" t="s">
        <v>1021</v>
      </c>
      <c r="B511" t="s">
        <v>965</v>
      </c>
      <c r="C511">
        <v>0</v>
      </c>
      <c r="E511" t="s">
        <v>1023</v>
      </c>
      <c r="F511" t="s">
        <v>1037</v>
      </c>
      <c r="G511" t="s">
        <v>961</v>
      </c>
      <c r="H511">
        <v>0.66500000000000004</v>
      </c>
      <c r="J511">
        <v>105881663</v>
      </c>
      <c r="K511" s="2">
        <v>43595</v>
      </c>
      <c r="L511">
        <v>27</v>
      </c>
      <c r="M511">
        <v>1</v>
      </c>
      <c r="N511">
        <v>7</v>
      </c>
      <c r="O511">
        <v>5</v>
      </c>
      <c r="P511" t="s">
        <v>7</v>
      </c>
    </row>
    <row r="512" spans="1:16">
      <c r="A512" t="s">
        <v>1021</v>
      </c>
      <c r="B512" t="s">
        <v>967</v>
      </c>
      <c r="C512">
        <v>0</v>
      </c>
      <c r="D512" t="s">
        <v>757</v>
      </c>
      <c r="E512" t="s">
        <v>965</v>
      </c>
      <c r="F512" t="s">
        <v>1018</v>
      </c>
      <c r="G512" t="s">
        <v>960</v>
      </c>
      <c r="H512">
        <v>1.4890000000000001</v>
      </c>
      <c r="J512">
        <v>107220961</v>
      </c>
      <c r="K512" s="2">
        <v>44848</v>
      </c>
      <c r="L512">
        <v>30</v>
      </c>
      <c r="M512">
        <v>1</v>
      </c>
      <c r="N512">
        <v>8</v>
      </c>
      <c r="O512">
        <v>1</v>
      </c>
      <c r="P512" t="s">
        <v>7</v>
      </c>
    </row>
    <row r="513" spans="1:16">
      <c r="A513" t="s">
        <v>1021</v>
      </c>
      <c r="B513" t="s">
        <v>968</v>
      </c>
      <c r="C513">
        <v>0</v>
      </c>
      <c r="E513" t="s">
        <v>965</v>
      </c>
      <c r="F513" t="s">
        <v>1072</v>
      </c>
      <c r="G513" t="s">
        <v>968</v>
      </c>
      <c r="H513">
        <v>7.75</v>
      </c>
      <c r="J513">
        <v>105941856</v>
      </c>
      <c r="K513" s="2">
        <v>43658</v>
      </c>
      <c r="L513">
        <v>21</v>
      </c>
      <c r="M513">
        <v>1</v>
      </c>
      <c r="N513">
        <v>7</v>
      </c>
      <c r="O513">
        <v>3</v>
      </c>
      <c r="P513" t="s">
        <v>7</v>
      </c>
    </row>
    <row r="514" spans="1:16">
      <c r="A514" t="s">
        <v>1021</v>
      </c>
      <c r="B514" t="s">
        <v>965</v>
      </c>
      <c r="C514">
        <v>0</v>
      </c>
      <c r="E514" t="s">
        <v>1064</v>
      </c>
      <c r="F514" t="s">
        <v>1052</v>
      </c>
      <c r="G514" t="s">
        <v>961</v>
      </c>
      <c r="H514">
        <v>1.405</v>
      </c>
      <c r="J514">
        <v>105950185</v>
      </c>
      <c r="K514" s="2">
        <v>43668</v>
      </c>
      <c r="L514">
        <v>30</v>
      </c>
      <c r="M514">
        <v>1</v>
      </c>
      <c r="N514">
        <v>7</v>
      </c>
      <c r="O514">
        <v>1</v>
      </c>
      <c r="P514" t="s">
        <v>8</v>
      </c>
    </row>
    <row r="515" spans="1:16">
      <c r="A515" t="s">
        <v>1021</v>
      </c>
      <c r="B515" t="s">
        <v>968</v>
      </c>
      <c r="C515">
        <v>8.9999999999999993E-3</v>
      </c>
      <c r="D515" t="s">
        <v>6</v>
      </c>
      <c r="E515" t="s">
        <v>965</v>
      </c>
      <c r="F515" t="s">
        <v>963</v>
      </c>
      <c r="G515" t="s">
        <v>968</v>
      </c>
      <c r="H515">
        <v>7.7409999999999997</v>
      </c>
      <c r="J515">
        <v>106064224</v>
      </c>
      <c r="K515" s="2">
        <v>43767</v>
      </c>
      <c r="L515">
        <v>21</v>
      </c>
      <c r="M515">
        <v>1</v>
      </c>
      <c r="N515">
        <v>7</v>
      </c>
      <c r="O515">
        <v>1</v>
      </c>
      <c r="P515" t="s">
        <v>3</v>
      </c>
    </row>
    <row r="516" spans="1:16">
      <c r="A516" t="s">
        <v>1021</v>
      </c>
      <c r="B516" t="s">
        <v>965</v>
      </c>
      <c r="C516">
        <v>0</v>
      </c>
      <c r="E516" t="s">
        <v>968</v>
      </c>
      <c r="F516" t="s">
        <v>1116</v>
      </c>
      <c r="G516" t="s">
        <v>962</v>
      </c>
      <c r="H516">
        <v>2.1920000000000002</v>
      </c>
      <c r="J516">
        <v>106064266</v>
      </c>
      <c r="K516" s="2">
        <v>43763</v>
      </c>
      <c r="L516">
        <v>21</v>
      </c>
      <c r="M516">
        <v>1</v>
      </c>
      <c r="N516">
        <v>7</v>
      </c>
      <c r="O516">
        <v>1</v>
      </c>
      <c r="P516" t="s">
        <v>7</v>
      </c>
    </row>
    <row r="517" spans="1:16">
      <c r="A517" t="s">
        <v>1021</v>
      </c>
      <c r="B517" t="s">
        <v>965</v>
      </c>
      <c r="C517">
        <v>0.1</v>
      </c>
      <c r="D517" t="s">
        <v>758</v>
      </c>
      <c r="E517" t="s">
        <v>967</v>
      </c>
      <c r="F517" t="s">
        <v>1117</v>
      </c>
      <c r="G517" t="s">
        <v>961</v>
      </c>
      <c r="H517">
        <v>0.111</v>
      </c>
      <c r="J517">
        <v>105984036</v>
      </c>
      <c r="K517" s="2">
        <v>43700</v>
      </c>
      <c r="L517">
        <v>30</v>
      </c>
      <c r="M517">
        <v>1</v>
      </c>
      <c r="N517">
        <v>8</v>
      </c>
      <c r="O517">
        <v>1</v>
      </c>
      <c r="P517" t="s">
        <v>7</v>
      </c>
    </row>
    <row r="518" spans="1:16">
      <c r="A518" t="s">
        <v>1021</v>
      </c>
      <c r="B518" t="s">
        <v>967</v>
      </c>
      <c r="C518">
        <v>0.09</v>
      </c>
      <c r="D518" t="s">
        <v>6</v>
      </c>
      <c r="E518" t="s">
        <v>964</v>
      </c>
      <c r="F518" t="s">
        <v>1029</v>
      </c>
      <c r="G518" t="s">
        <v>967</v>
      </c>
      <c r="H518">
        <v>999.99900000000002</v>
      </c>
      <c r="J518">
        <v>105984038</v>
      </c>
      <c r="K518" s="2">
        <v>43701</v>
      </c>
      <c r="L518">
        <v>2</v>
      </c>
      <c r="M518">
        <v>2</v>
      </c>
      <c r="N518">
        <v>0</v>
      </c>
      <c r="O518">
        <v>5</v>
      </c>
      <c r="P518" t="s">
        <v>3</v>
      </c>
    </row>
    <row r="519" spans="1:16">
      <c r="A519" t="s">
        <v>1021</v>
      </c>
      <c r="B519" t="s">
        <v>965</v>
      </c>
      <c r="C519">
        <v>0</v>
      </c>
      <c r="E519" t="s">
        <v>1023</v>
      </c>
      <c r="F519" t="s">
        <v>1039</v>
      </c>
      <c r="G519" t="s">
        <v>961</v>
      </c>
      <c r="H519">
        <v>0.66500000000000004</v>
      </c>
      <c r="J519">
        <v>105984047</v>
      </c>
      <c r="K519" s="2">
        <v>43691</v>
      </c>
      <c r="L519">
        <v>30</v>
      </c>
      <c r="M519">
        <v>1</v>
      </c>
      <c r="N519">
        <v>7</v>
      </c>
      <c r="O519">
        <v>1</v>
      </c>
      <c r="P519" t="s">
        <v>7</v>
      </c>
    </row>
    <row r="520" spans="1:16">
      <c r="A520" t="s">
        <v>1021</v>
      </c>
      <c r="B520" t="s">
        <v>965</v>
      </c>
      <c r="C520">
        <v>0</v>
      </c>
      <c r="D520" t="s">
        <v>6</v>
      </c>
      <c r="E520" t="s">
        <v>967</v>
      </c>
      <c r="F520" t="s">
        <v>963</v>
      </c>
      <c r="G520" t="s">
        <v>961</v>
      </c>
      <c r="H520">
        <v>0.21099999999999999</v>
      </c>
      <c r="J520">
        <v>105984052</v>
      </c>
      <c r="K520" s="2">
        <v>43696</v>
      </c>
      <c r="L520">
        <v>30</v>
      </c>
      <c r="M520">
        <v>1</v>
      </c>
      <c r="N520">
        <v>7</v>
      </c>
      <c r="O520">
        <v>1</v>
      </c>
      <c r="P520" t="s">
        <v>3</v>
      </c>
    </row>
    <row r="521" spans="1:16">
      <c r="A521" t="s">
        <v>1021</v>
      </c>
      <c r="B521" t="s">
        <v>1022</v>
      </c>
      <c r="C521">
        <v>2.8000000000000001E-2</v>
      </c>
      <c r="D521" t="s">
        <v>757</v>
      </c>
      <c r="E521" t="s">
        <v>965</v>
      </c>
      <c r="F521" t="s">
        <v>1118</v>
      </c>
      <c r="H521">
        <v>999.99900000000002</v>
      </c>
      <c r="J521">
        <v>106036364</v>
      </c>
      <c r="K521" s="2">
        <v>43751</v>
      </c>
      <c r="L521">
        <v>26</v>
      </c>
      <c r="M521">
        <v>1</v>
      </c>
      <c r="N521">
        <v>8</v>
      </c>
      <c r="O521">
        <v>1</v>
      </c>
      <c r="P521" t="s">
        <v>7</v>
      </c>
    </row>
    <row r="522" spans="1:16">
      <c r="A522" t="s">
        <v>1021</v>
      </c>
      <c r="B522" t="s">
        <v>968</v>
      </c>
      <c r="C522">
        <v>0</v>
      </c>
      <c r="E522" t="s">
        <v>965</v>
      </c>
      <c r="F522" t="s">
        <v>1037</v>
      </c>
      <c r="G522" t="s">
        <v>968</v>
      </c>
      <c r="H522">
        <v>7.75</v>
      </c>
      <c r="J522">
        <v>105864326</v>
      </c>
      <c r="K522" s="2">
        <v>43580</v>
      </c>
      <c r="L522">
        <v>21</v>
      </c>
      <c r="M522">
        <v>1</v>
      </c>
      <c r="N522">
        <v>7</v>
      </c>
      <c r="O522">
        <v>1</v>
      </c>
      <c r="P522" t="s">
        <v>3</v>
      </c>
    </row>
    <row r="523" spans="1:16">
      <c r="A523" t="s">
        <v>1021</v>
      </c>
      <c r="B523" t="s">
        <v>965</v>
      </c>
      <c r="C523">
        <v>0</v>
      </c>
      <c r="E523" t="s">
        <v>968</v>
      </c>
      <c r="F523" t="s">
        <v>977</v>
      </c>
      <c r="G523" t="s">
        <v>962</v>
      </c>
      <c r="H523">
        <v>2.1920000000000002</v>
      </c>
      <c r="J523">
        <v>106308161</v>
      </c>
      <c r="K523" s="2">
        <v>44001</v>
      </c>
      <c r="L523">
        <v>21</v>
      </c>
      <c r="M523">
        <v>1</v>
      </c>
      <c r="N523">
        <v>7</v>
      </c>
      <c r="O523">
        <v>2</v>
      </c>
      <c r="P523" t="s">
        <v>7</v>
      </c>
    </row>
    <row r="524" spans="1:16">
      <c r="A524" t="s">
        <v>1021</v>
      </c>
      <c r="B524" t="s">
        <v>965</v>
      </c>
      <c r="C524">
        <v>2.3E-2</v>
      </c>
      <c r="D524" t="s">
        <v>758</v>
      </c>
      <c r="E524" t="s">
        <v>1033</v>
      </c>
      <c r="F524" t="s">
        <v>1032</v>
      </c>
      <c r="G524" t="s">
        <v>961</v>
      </c>
      <c r="H524">
        <v>1.87</v>
      </c>
      <c r="J524">
        <v>106211404</v>
      </c>
      <c r="K524" s="2">
        <v>43883</v>
      </c>
      <c r="L524">
        <v>21</v>
      </c>
      <c r="M524">
        <v>1</v>
      </c>
      <c r="N524">
        <v>0</v>
      </c>
      <c r="O524">
        <v>1</v>
      </c>
      <c r="P524" t="s">
        <v>3</v>
      </c>
    </row>
    <row r="525" spans="1:16">
      <c r="A525" t="s">
        <v>1021</v>
      </c>
      <c r="B525" t="s">
        <v>962</v>
      </c>
      <c r="C525">
        <v>8.9999999999999993E-3</v>
      </c>
      <c r="D525" t="s">
        <v>758</v>
      </c>
      <c r="E525" t="s">
        <v>977</v>
      </c>
      <c r="F525" t="s">
        <v>971</v>
      </c>
      <c r="G525" t="s">
        <v>962</v>
      </c>
      <c r="H525">
        <v>1.9790000000000001</v>
      </c>
      <c r="J525">
        <v>106112484</v>
      </c>
      <c r="K525" s="2">
        <v>43829</v>
      </c>
      <c r="L525">
        <v>21</v>
      </c>
      <c r="M525">
        <v>1</v>
      </c>
      <c r="N525">
        <v>0</v>
      </c>
      <c r="O525">
        <v>1</v>
      </c>
      <c r="P525" t="s">
        <v>7</v>
      </c>
    </row>
    <row r="526" spans="1:16">
      <c r="A526" t="s">
        <v>754</v>
      </c>
      <c r="B526" t="s">
        <v>962</v>
      </c>
      <c r="C526">
        <v>0.2</v>
      </c>
      <c r="D526" t="s">
        <v>756</v>
      </c>
      <c r="E526" t="s">
        <v>977</v>
      </c>
      <c r="F526" t="s">
        <v>1080</v>
      </c>
      <c r="G526" t="s">
        <v>962</v>
      </c>
      <c r="H526">
        <v>2.1880000000000002</v>
      </c>
      <c r="J526">
        <v>106144525</v>
      </c>
      <c r="K526" s="2">
        <v>43858</v>
      </c>
      <c r="L526">
        <v>31</v>
      </c>
      <c r="M526">
        <v>1</v>
      </c>
      <c r="N526">
        <v>12</v>
      </c>
      <c r="O526">
        <v>1</v>
      </c>
      <c r="P526" t="s">
        <v>7</v>
      </c>
    </row>
    <row r="527" spans="1:16">
      <c r="A527" t="s">
        <v>1021</v>
      </c>
      <c r="B527" t="s">
        <v>968</v>
      </c>
      <c r="C527">
        <v>0</v>
      </c>
      <c r="E527" t="s">
        <v>964</v>
      </c>
      <c r="F527" t="s">
        <v>969</v>
      </c>
      <c r="G527" t="s">
        <v>968</v>
      </c>
      <c r="H527">
        <v>8.1210000000000004</v>
      </c>
      <c r="J527">
        <v>106187057</v>
      </c>
      <c r="K527" s="2">
        <v>43857</v>
      </c>
      <c r="L527">
        <v>30</v>
      </c>
      <c r="M527">
        <v>1</v>
      </c>
      <c r="N527">
        <v>7</v>
      </c>
      <c r="O527">
        <v>1</v>
      </c>
      <c r="P527" t="s">
        <v>8</v>
      </c>
    </row>
    <row r="528" spans="1:16">
      <c r="A528" t="s">
        <v>754</v>
      </c>
      <c r="B528" t="s">
        <v>962</v>
      </c>
      <c r="C528">
        <v>4.0000000000000001E-3</v>
      </c>
      <c r="D528" t="s">
        <v>758</v>
      </c>
      <c r="E528" t="s">
        <v>986</v>
      </c>
      <c r="F528" t="s">
        <v>975</v>
      </c>
      <c r="H528">
        <v>999.99900000000002</v>
      </c>
      <c r="J528">
        <v>106136418</v>
      </c>
      <c r="K528" s="2">
        <v>43812</v>
      </c>
      <c r="L528">
        <v>21</v>
      </c>
      <c r="M528">
        <v>2</v>
      </c>
      <c r="N528">
        <v>0</v>
      </c>
      <c r="O528">
        <v>1</v>
      </c>
      <c r="P528" t="s">
        <v>7</v>
      </c>
    </row>
    <row r="529" spans="1:16">
      <c r="A529" t="s">
        <v>1021</v>
      </c>
      <c r="B529" t="s">
        <v>965</v>
      </c>
      <c r="C529">
        <v>0</v>
      </c>
      <c r="D529" t="s">
        <v>756</v>
      </c>
      <c r="E529" t="s">
        <v>1032</v>
      </c>
      <c r="F529" t="s">
        <v>1035</v>
      </c>
      <c r="G529" t="s">
        <v>961</v>
      </c>
      <c r="H529">
        <v>1.843</v>
      </c>
      <c r="J529">
        <v>106186243</v>
      </c>
      <c r="K529" s="2">
        <v>43846</v>
      </c>
      <c r="L529">
        <v>30</v>
      </c>
      <c r="M529">
        <v>1</v>
      </c>
      <c r="N529">
        <v>7</v>
      </c>
      <c r="O529">
        <v>2</v>
      </c>
      <c r="P529" t="s">
        <v>7</v>
      </c>
    </row>
    <row r="530" spans="1:16">
      <c r="A530" t="s">
        <v>754</v>
      </c>
      <c r="B530" t="s">
        <v>968</v>
      </c>
      <c r="C530">
        <v>3.0000000000000001E-3</v>
      </c>
      <c r="D530" t="s">
        <v>6</v>
      </c>
      <c r="E530" t="s">
        <v>962</v>
      </c>
      <c r="F530" t="s">
        <v>1024</v>
      </c>
      <c r="G530" t="s">
        <v>968</v>
      </c>
      <c r="H530">
        <v>7.7469999999999999</v>
      </c>
      <c r="J530">
        <v>106235643</v>
      </c>
      <c r="K530" s="2">
        <v>43971</v>
      </c>
      <c r="L530">
        <v>21</v>
      </c>
      <c r="M530">
        <v>2</v>
      </c>
      <c r="N530">
        <v>12</v>
      </c>
      <c r="O530">
        <v>1</v>
      </c>
      <c r="P530" t="s">
        <v>7</v>
      </c>
    </row>
    <row r="531" spans="1:16">
      <c r="A531" t="s">
        <v>1021</v>
      </c>
      <c r="B531" t="s">
        <v>965</v>
      </c>
      <c r="C531">
        <v>0.06</v>
      </c>
      <c r="D531" t="s">
        <v>756</v>
      </c>
      <c r="E531" t="s">
        <v>968</v>
      </c>
      <c r="F531" t="s">
        <v>967</v>
      </c>
      <c r="G531" t="s">
        <v>961</v>
      </c>
      <c r="H531">
        <v>0.06</v>
      </c>
      <c r="J531">
        <v>106284002</v>
      </c>
      <c r="K531" s="2">
        <v>43967</v>
      </c>
      <c r="L531">
        <v>25</v>
      </c>
      <c r="M531">
        <v>1</v>
      </c>
      <c r="N531">
        <v>8</v>
      </c>
      <c r="O531">
        <v>1</v>
      </c>
      <c r="P531" t="s">
        <v>8</v>
      </c>
    </row>
    <row r="532" spans="1:16">
      <c r="A532" t="s">
        <v>1021</v>
      </c>
      <c r="B532" t="s">
        <v>965</v>
      </c>
      <c r="C532">
        <v>3.7999999999999999E-2</v>
      </c>
      <c r="D532" t="s">
        <v>756</v>
      </c>
      <c r="E532" t="s">
        <v>1020</v>
      </c>
      <c r="F532" t="s">
        <v>967</v>
      </c>
      <c r="G532" t="s">
        <v>961</v>
      </c>
      <c r="H532">
        <v>0.378</v>
      </c>
      <c r="J532">
        <v>106095388</v>
      </c>
      <c r="K532" s="2">
        <v>43775</v>
      </c>
      <c r="L532">
        <v>17</v>
      </c>
      <c r="M532">
        <v>1</v>
      </c>
      <c r="N532">
        <v>0</v>
      </c>
      <c r="O532">
        <v>1</v>
      </c>
      <c r="P532" t="s">
        <v>7</v>
      </c>
    </row>
    <row r="533" spans="1:16">
      <c r="A533" t="s">
        <v>1021</v>
      </c>
      <c r="B533" t="s">
        <v>965</v>
      </c>
      <c r="C533">
        <v>0.01</v>
      </c>
      <c r="D533" t="s">
        <v>758</v>
      </c>
      <c r="E533" t="s">
        <v>979</v>
      </c>
      <c r="F533" t="s">
        <v>1119</v>
      </c>
      <c r="G533" t="s">
        <v>961</v>
      </c>
      <c r="H533">
        <v>1.5860000000000001</v>
      </c>
      <c r="J533">
        <v>106211357</v>
      </c>
      <c r="K533" s="2">
        <v>43866</v>
      </c>
      <c r="L533">
        <v>21</v>
      </c>
      <c r="M533">
        <v>2</v>
      </c>
      <c r="N533">
        <v>0</v>
      </c>
      <c r="O533">
        <v>1</v>
      </c>
      <c r="P533" t="s">
        <v>7</v>
      </c>
    </row>
    <row r="534" spans="1:16">
      <c r="A534" t="s">
        <v>1021</v>
      </c>
      <c r="B534" t="s">
        <v>968</v>
      </c>
      <c r="C534">
        <v>2.3E-2</v>
      </c>
      <c r="D534" t="s">
        <v>757</v>
      </c>
      <c r="E534" t="s">
        <v>964</v>
      </c>
      <c r="F534" t="s">
        <v>970</v>
      </c>
      <c r="G534" t="s">
        <v>968</v>
      </c>
      <c r="H534">
        <v>8.1440000000000001</v>
      </c>
      <c r="J534">
        <v>106095514</v>
      </c>
      <c r="K534" s="2">
        <v>43783</v>
      </c>
      <c r="L534">
        <v>30</v>
      </c>
      <c r="M534">
        <v>1</v>
      </c>
      <c r="N534">
        <v>7</v>
      </c>
      <c r="O534">
        <v>1</v>
      </c>
      <c r="P534" t="s">
        <v>7</v>
      </c>
    </row>
    <row r="535" spans="1:16">
      <c r="A535" t="s">
        <v>1021</v>
      </c>
      <c r="B535" t="s">
        <v>1026</v>
      </c>
      <c r="C535">
        <v>0</v>
      </c>
      <c r="E535" t="s">
        <v>965</v>
      </c>
      <c r="F535" t="s">
        <v>1120</v>
      </c>
      <c r="G535" t="s">
        <v>1036</v>
      </c>
      <c r="H535">
        <v>0.64300000000000002</v>
      </c>
      <c r="J535">
        <v>106223035</v>
      </c>
      <c r="K535" s="2">
        <v>43897</v>
      </c>
      <c r="L535">
        <v>30</v>
      </c>
      <c r="M535">
        <v>1</v>
      </c>
      <c r="N535">
        <v>7</v>
      </c>
      <c r="O535">
        <v>1</v>
      </c>
      <c r="P535" t="s">
        <v>7</v>
      </c>
    </row>
    <row r="536" spans="1:16">
      <c r="A536" t="s">
        <v>1021</v>
      </c>
      <c r="B536" t="s">
        <v>965</v>
      </c>
      <c r="C536">
        <v>0</v>
      </c>
      <c r="E536" t="s">
        <v>1097</v>
      </c>
      <c r="F536" t="s">
        <v>1099</v>
      </c>
      <c r="G536" t="s">
        <v>1063</v>
      </c>
      <c r="H536">
        <v>0.16400000000000001</v>
      </c>
      <c r="J536">
        <v>106223036</v>
      </c>
      <c r="K536" s="2">
        <v>43902</v>
      </c>
      <c r="L536">
        <v>30</v>
      </c>
      <c r="M536">
        <v>1</v>
      </c>
      <c r="N536">
        <v>7</v>
      </c>
      <c r="O536">
        <v>1</v>
      </c>
      <c r="P536" t="s">
        <v>7</v>
      </c>
    </row>
    <row r="537" spans="1:16">
      <c r="A537" t="s">
        <v>1021</v>
      </c>
      <c r="B537" t="s">
        <v>964</v>
      </c>
      <c r="C537">
        <v>0.3</v>
      </c>
      <c r="D537" t="s">
        <v>764</v>
      </c>
      <c r="E537" t="s">
        <v>968</v>
      </c>
      <c r="F537" t="s">
        <v>966</v>
      </c>
      <c r="G537" t="s">
        <v>960</v>
      </c>
      <c r="H537">
        <v>0.3</v>
      </c>
      <c r="J537">
        <v>106223030</v>
      </c>
      <c r="K537" s="2">
        <v>43895</v>
      </c>
      <c r="L537">
        <v>30</v>
      </c>
      <c r="M537">
        <v>1</v>
      </c>
      <c r="N537">
        <v>4</v>
      </c>
      <c r="O537">
        <v>1</v>
      </c>
      <c r="P537" t="s">
        <v>7</v>
      </c>
    </row>
    <row r="538" spans="1:16">
      <c r="A538" t="s">
        <v>1021</v>
      </c>
      <c r="B538" t="s">
        <v>968</v>
      </c>
      <c r="C538">
        <v>0</v>
      </c>
      <c r="E538" t="s">
        <v>964</v>
      </c>
      <c r="F538" t="s">
        <v>1045</v>
      </c>
      <c r="G538" t="s">
        <v>968</v>
      </c>
      <c r="H538">
        <v>8.1210000000000004</v>
      </c>
      <c r="J538">
        <v>106159982</v>
      </c>
      <c r="K538" s="2">
        <v>43811</v>
      </c>
      <c r="L538">
        <v>30</v>
      </c>
      <c r="M538">
        <v>1</v>
      </c>
      <c r="N538">
        <v>7</v>
      </c>
      <c r="O538">
        <v>1</v>
      </c>
      <c r="P538" t="s">
        <v>3</v>
      </c>
    </row>
    <row r="539" spans="1:16">
      <c r="A539" t="s">
        <v>1021</v>
      </c>
      <c r="B539" t="s">
        <v>965</v>
      </c>
      <c r="C539">
        <v>3.1E-2</v>
      </c>
      <c r="D539" t="s">
        <v>756</v>
      </c>
      <c r="E539" t="s">
        <v>968</v>
      </c>
      <c r="G539" t="s">
        <v>961</v>
      </c>
      <c r="H539">
        <v>3.1E-2</v>
      </c>
      <c r="J539">
        <v>106167499</v>
      </c>
      <c r="K539" s="2">
        <v>43844</v>
      </c>
      <c r="L539">
        <v>21</v>
      </c>
      <c r="M539">
        <v>2</v>
      </c>
      <c r="N539">
        <v>0</v>
      </c>
      <c r="O539">
        <v>1</v>
      </c>
      <c r="P539" t="s">
        <v>3</v>
      </c>
    </row>
    <row r="540" spans="1:16">
      <c r="A540" t="s">
        <v>1021</v>
      </c>
      <c r="B540" t="s">
        <v>965</v>
      </c>
      <c r="C540">
        <v>5.0000000000000001E-3</v>
      </c>
      <c r="D540" t="s">
        <v>756</v>
      </c>
      <c r="E540" t="s">
        <v>1054</v>
      </c>
      <c r="F540" t="s">
        <v>1032</v>
      </c>
      <c r="G540" t="s">
        <v>961</v>
      </c>
      <c r="H540">
        <v>1.728</v>
      </c>
      <c r="J540">
        <v>106211351</v>
      </c>
      <c r="K540" s="2">
        <v>43883</v>
      </c>
      <c r="L540">
        <v>30</v>
      </c>
      <c r="M540">
        <v>1</v>
      </c>
      <c r="N540">
        <v>0</v>
      </c>
      <c r="O540">
        <v>1</v>
      </c>
      <c r="P540" t="s">
        <v>7</v>
      </c>
    </row>
    <row r="541" spans="1:16">
      <c r="A541" t="s">
        <v>1021</v>
      </c>
      <c r="B541" t="s">
        <v>968</v>
      </c>
      <c r="C541">
        <v>0</v>
      </c>
      <c r="E541" t="s">
        <v>962</v>
      </c>
      <c r="F541" t="s">
        <v>964</v>
      </c>
      <c r="G541" t="s">
        <v>968</v>
      </c>
      <c r="H541">
        <v>7.75</v>
      </c>
      <c r="J541">
        <v>106144631</v>
      </c>
      <c r="K541" s="2">
        <v>43863</v>
      </c>
      <c r="L541">
        <v>30</v>
      </c>
      <c r="M541">
        <v>1</v>
      </c>
      <c r="N541">
        <v>7</v>
      </c>
      <c r="O541">
        <v>1</v>
      </c>
      <c r="P541" t="s">
        <v>3</v>
      </c>
    </row>
    <row r="542" spans="1:16">
      <c r="A542" t="s">
        <v>1021</v>
      </c>
      <c r="B542" t="s">
        <v>1032</v>
      </c>
      <c r="C542">
        <v>0</v>
      </c>
      <c r="E542" t="s">
        <v>965</v>
      </c>
      <c r="F542" t="s">
        <v>1040</v>
      </c>
      <c r="G542" t="s">
        <v>1032</v>
      </c>
      <c r="H542">
        <v>0.12</v>
      </c>
      <c r="J542">
        <v>106285437</v>
      </c>
      <c r="K542" s="2">
        <v>43980</v>
      </c>
      <c r="L542">
        <v>30</v>
      </c>
      <c r="M542">
        <v>1</v>
      </c>
      <c r="N542">
        <v>7</v>
      </c>
      <c r="O542">
        <v>1</v>
      </c>
      <c r="P542" t="s">
        <v>3</v>
      </c>
    </row>
    <row r="543" spans="1:16">
      <c r="A543" t="s">
        <v>1021</v>
      </c>
      <c r="B543" t="s">
        <v>965</v>
      </c>
      <c r="C543">
        <v>0</v>
      </c>
      <c r="E543" t="s">
        <v>979</v>
      </c>
      <c r="F543" t="s">
        <v>1064</v>
      </c>
      <c r="G543" t="s">
        <v>961</v>
      </c>
      <c r="H543">
        <v>1.5960000000000001</v>
      </c>
      <c r="J543">
        <v>106285439</v>
      </c>
      <c r="K543" s="2">
        <v>43977</v>
      </c>
      <c r="L543">
        <v>23</v>
      </c>
      <c r="M543">
        <v>1</v>
      </c>
      <c r="N543">
        <v>8</v>
      </c>
      <c r="O543">
        <v>1</v>
      </c>
      <c r="P543" t="s">
        <v>3</v>
      </c>
    </row>
    <row r="544" spans="1:16">
      <c r="A544" t="s">
        <v>1021</v>
      </c>
      <c r="B544" t="s">
        <v>964</v>
      </c>
      <c r="C544">
        <v>0.1</v>
      </c>
      <c r="D544" t="s">
        <v>758</v>
      </c>
      <c r="E544" t="s">
        <v>967</v>
      </c>
      <c r="F544" t="s">
        <v>966</v>
      </c>
      <c r="G544" t="s">
        <v>960</v>
      </c>
      <c r="H544">
        <v>0.627</v>
      </c>
      <c r="J544">
        <v>106095425</v>
      </c>
      <c r="K544" s="2">
        <v>43784</v>
      </c>
      <c r="L544">
        <v>31</v>
      </c>
      <c r="M544">
        <v>2</v>
      </c>
      <c r="N544">
        <v>0</v>
      </c>
      <c r="O544">
        <v>4</v>
      </c>
    </row>
    <row r="545" spans="1:16">
      <c r="A545" t="s">
        <v>1021</v>
      </c>
      <c r="B545" t="s">
        <v>965</v>
      </c>
      <c r="C545">
        <v>0</v>
      </c>
      <c r="E545" t="s">
        <v>1064</v>
      </c>
      <c r="F545" t="s">
        <v>1056</v>
      </c>
      <c r="G545" t="s">
        <v>961</v>
      </c>
      <c r="H545">
        <v>1.405</v>
      </c>
      <c r="J545">
        <v>106307647</v>
      </c>
      <c r="K545" s="2">
        <v>44008</v>
      </c>
      <c r="L545">
        <v>21</v>
      </c>
      <c r="M545">
        <v>1</v>
      </c>
      <c r="N545">
        <v>0</v>
      </c>
      <c r="O545">
        <v>1</v>
      </c>
      <c r="P545" t="s">
        <v>3</v>
      </c>
    </row>
    <row r="546" spans="1:16">
      <c r="A546" t="s">
        <v>1021</v>
      </c>
      <c r="B546" t="s">
        <v>1121</v>
      </c>
      <c r="C546">
        <v>4.0000000000000001E-3</v>
      </c>
      <c r="D546" t="s">
        <v>756</v>
      </c>
      <c r="E546" t="s">
        <v>967</v>
      </c>
      <c r="F546" t="s">
        <v>1020</v>
      </c>
      <c r="H546">
        <v>999.99900000000002</v>
      </c>
      <c r="J546">
        <v>106125010</v>
      </c>
      <c r="K546" s="2">
        <v>43808</v>
      </c>
      <c r="L546">
        <v>24</v>
      </c>
      <c r="M546">
        <v>1</v>
      </c>
      <c r="N546">
        <v>8</v>
      </c>
      <c r="O546">
        <v>1</v>
      </c>
      <c r="P546" t="s">
        <v>7</v>
      </c>
    </row>
    <row r="547" spans="1:16">
      <c r="A547" t="s">
        <v>1021</v>
      </c>
      <c r="B547" t="s">
        <v>965</v>
      </c>
      <c r="C547">
        <v>7.5999999999999998E-2</v>
      </c>
      <c r="D547" t="s">
        <v>756</v>
      </c>
      <c r="E547" t="s">
        <v>968</v>
      </c>
      <c r="F547" t="s">
        <v>967</v>
      </c>
      <c r="G547" t="s">
        <v>961</v>
      </c>
      <c r="H547">
        <v>7.5999999999999998E-2</v>
      </c>
      <c r="J547">
        <v>106125019</v>
      </c>
      <c r="K547" s="2">
        <v>43804</v>
      </c>
      <c r="L547">
        <v>30</v>
      </c>
      <c r="M547">
        <v>1</v>
      </c>
      <c r="N547">
        <v>8</v>
      </c>
      <c r="O547">
        <v>1</v>
      </c>
      <c r="P547" t="s">
        <v>7</v>
      </c>
    </row>
    <row r="548" spans="1:16">
      <c r="A548" t="s">
        <v>1021</v>
      </c>
      <c r="B548" t="s">
        <v>965</v>
      </c>
      <c r="C548">
        <v>0</v>
      </c>
      <c r="E548" t="s">
        <v>1033</v>
      </c>
      <c r="F548" t="s">
        <v>1025</v>
      </c>
      <c r="G548" t="s">
        <v>961</v>
      </c>
      <c r="H548">
        <v>1.893</v>
      </c>
      <c r="J548">
        <v>106125025</v>
      </c>
      <c r="K548" s="2">
        <v>43801</v>
      </c>
      <c r="L548">
        <v>21</v>
      </c>
      <c r="M548">
        <v>1</v>
      </c>
      <c r="N548">
        <v>7</v>
      </c>
      <c r="O548">
        <v>2</v>
      </c>
      <c r="P548" t="s">
        <v>7</v>
      </c>
    </row>
    <row r="549" spans="1:16">
      <c r="A549" t="s">
        <v>1021</v>
      </c>
      <c r="B549" t="s">
        <v>965</v>
      </c>
      <c r="C549">
        <v>7.9000000000000001E-2</v>
      </c>
      <c r="D549" t="s">
        <v>758</v>
      </c>
      <c r="E549" t="s">
        <v>1020</v>
      </c>
      <c r="F549" t="s">
        <v>967</v>
      </c>
      <c r="G549" t="s">
        <v>961</v>
      </c>
      <c r="H549">
        <v>0.26100000000000001</v>
      </c>
      <c r="J549">
        <v>106837459</v>
      </c>
      <c r="K549" s="2">
        <v>44581</v>
      </c>
      <c r="L549">
        <v>28</v>
      </c>
      <c r="M549">
        <v>2</v>
      </c>
      <c r="N549">
        <v>0</v>
      </c>
      <c r="O549">
        <v>1</v>
      </c>
      <c r="P549" t="s">
        <v>7</v>
      </c>
    </row>
    <row r="550" spans="1:16">
      <c r="A550" t="s">
        <v>1021</v>
      </c>
      <c r="B550" t="s">
        <v>968</v>
      </c>
      <c r="C550">
        <v>8.9999999999999993E-3</v>
      </c>
      <c r="D550" t="s">
        <v>757</v>
      </c>
      <c r="E550" t="s">
        <v>964</v>
      </c>
      <c r="F550" t="s">
        <v>965</v>
      </c>
      <c r="G550" t="s">
        <v>968</v>
      </c>
      <c r="H550">
        <v>8.1300000000000008</v>
      </c>
      <c r="J550">
        <v>106125012</v>
      </c>
      <c r="K550" s="2">
        <v>43807</v>
      </c>
      <c r="L550">
        <v>17</v>
      </c>
      <c r="M550">
        <v>1</v>
      </c>
      <c r="N550">
        <v>0</v>
      </c>
      <c r="O550">
        <v>5</v>
      </c>
      <c r="P550" t="s">
        <v>7</v>
      </c>
    </row>
    <row r="551" spans="1:16">
      <c r="A551" t="s">
        <v>1021</v>
      </c>
      <c r="B551" t="s">
        <v>965</v>
      </c>
      <c r="C551">
        <v>0</v>
      </c>
      <c r="E551" t="s">
        <v>1064</v>
      </c>
      <c r="F551" t="s">
        <v>1052</v>
      </c>
      <c r="G551" t="s">
        <v>961</v>
      </c>
      <c r="H551">
        <v>1.405</v>
      </c>
      <c r="J551">
        <v>106225085</v>
      </c>
      <c r="K551" s="2">
        <v>43944</v>
      </c>
      <c r="L551">
        <v>21</v>
      </c>
      <c r="M551">
        <v>1</v>
      </c>
      <c r="N551">
        <v>7</v>
      </c>
      <c r="O551">
        <v>1</v>
      </c>
      <c r="P551" t="s">
        <v>7</v>
      </c>
    </row>
    <row r="552" spans="1:16">
      <c r="A552" t="s">
        <v>1021</v>
      </c>
      <c r="B552" t="s">
        <v>965</v>
      </c>
      <c r="C552">
        <v>0.2</v>
      </c>
      <c r="D552" t="s">
        <v>758</v>
      </c>
      <c r="E552" t="s">
        <v>967</v>
      </c>
      <c r="F552" t="s">
        <v>1080</v>
      </c>
      <c r="G552" t="s">
        <v>961</v>
      </c>
      <c r="H552">
        <v>1.0999999999999999E-2</v>
      </c>
      <c r="J552">
        <v>106296410</v>
      </c>
      <c r="K552" s="2">
        <v>43992</v>
      </c>
      <c r="L552">
        <v>21</v>
      </c>
      <c r="M552">
        <v>1</v>
      </c>
      <c r="N552">
        <v>7</v>
      </c>
      <c r="O552">
        <v>1</v>
      </c>
      <c r="P552" t="s">
        <v>7</v>
      </c>
    </row>
    <row r="553" spans="1:16">
      <c r="A553" t="s">
        <v>1021</v>
      </c>
      <c r="B553" t="s">
        <v>979</v>
      </c>
      <c r="C553">
        <v>0</v>
      </c>
      <c r="E553" t="s">
        <v>965</v>
      </c>
      <c r="F553" t="s">
        <v>1051</v>
      </c>
      <c r="G553" t="s">
        <v>979</v>
      </c>
      <c r="H553">
        <v>9.6630000000000003</v>
      </c>
      <c r="J553">
        <v>106296411</v>
      </c>
      <c r="K553" s="2">
        <v>43991</v>
      </c>
      <c r="L553">
        <v>21</v>
      </c>
      <c r="M553">
        <v>1</v>
      </c>
      <c r="N553">
        <v>7</v>
      </c>
      <c r="O553">
        <v>1</v>
      </c>
      <c r="P553" t="s">
        <v>7</v>
      </c>
    </row>
    <row r="554" spans="1:16">
      <c r="A554" t="s">
        <v>1021</v>
      </c>
      <c r="B554" t="s">
        <v>965</v>
      </c>
      <c r="C554">
        <v>0</v>
      </c>
      <c r="E554" t="s">
        <v>1026</v>
      </c>
      <c r="F554" t="s">
        <v>1033</v>
      </c>
      <c r="G554" t="s">
        <v>1036</v>
      </c>
      <c r="H554">
        <v>0.64300000000000002</v>
      </c>
      <c r="J554">
        <v>106296413</v>
      </c>
      <c r="K554" s="2">
        <v>43998</v>
      </c>
      <c r="L554">
        <v>2</v>
      </c>
      <c r="M554">
        <v>2</v>
      </c>
      <c r="N554">
        <v>8</v>
      </c>
      <c r="O554">
        <v>1</v>
      </c>
    </row>
    <row r="555" spans="1:16">
      <c r="A555" t="s">
        <v>1021</v>
      </c>
      <c r="B555" t="s">
        <v>965</v>
      </c>
      <c r="C555">
        <v>0</v>
      </c>
      <c r="E555" t="s">
        <v>979</v>
      </c>
      <c r="F555" t="s">
        <v>1052</v>
      </c>
      <c r="G555" t="s">
        <v>961</v>
      </c>
      <c r="H555">
        <v>1.5960000000000001</v>
      </c>
      <c r="J555">
        <v>106296414</v>
      </c>
      <c r="K555" s="2">
        <v>44000</v>
      </c>
      <c r="L555">
        <v>28</v>
      </c>
      <c r="M555">
        <v>1</v>
      </c>
      <c r="N555">
        <v>8</v>
      </c>
      <c r="O555">
        <v>1</v>
      </c>
      <c r="P555" t="s">
        <v>8</v>
      </c>
    </row>
    <row r="556" spans="1:16">
      <c r="A556" t="s">
        <v>1021</v>
      </c>
      <c r="B556" t="s">
        <v>965</v>
      </c>
      <c r="C556">
        <v>1.4999999999999999E-2</v>
      </c>
      <c r="D556" t="s">
        <v>765</v>
      </c>
      <c r="E556" t="s">
        <v>1035</v>
      </c>
      <c r="F556" t="s">
        <v>1032</v>
      </c>
      <c r="G556" t="s">
        <v>961</v>
      </c>
      <c r="H556">
        <v>1.8779999999999999</v>
      </c>
      <c r="J556">
        <v>107223243</v>
      </c>
      <c r="K556" s="2">
        <v>44951</v>
      </c>
      <c r="L556">
        <v>21</v>
      </c>
      <c r="M556">
        <v>2</v>
      </c>
      <c r="N556">
        <v>0</v>
      </c>
      <c r="O556">
        <v>1</v>
      </c>
      <c r="P556" t="s">
        <v>7</v>
      </c>
    </row>
    <row r="557" spans="1:16">
      <c r="A557" t="s">
        <v>1021</v>
      </c>
      <c r="B557" t="s">
        <v>968</v>
      </c>
      <c r="C557">
        <v>8.9999999999999993E-3</v>
      </c>
      <c r="D557" t="s">
        <v>757</v>
      </c>
      <c r="E557" t="s">
        <v>963</v>
      </c>
      <c r="F557" t="s">
        <v>965</v>
      </c>
      <c r="G557" t="s">
        <v>968</v>
      </c>
      <c r="H557">
        <v>7.5979999999999999</v>
      </c>
      <c r="J557">
        <v>106285452</v>
      </c>
      <c r="K557" s="2">
        <v>43978</v>
      </c>
      <c r="L557">
        <v>29</v>
      </c>
      <c r="M557">
        <v>3</v>
      </c>
      <c r="N557">
        <v>7</v>
      </c>
      <c r="O557">
        <v>1</v>
      </c>
      <c r="P557" t="s">
        <v>3</v>
      </c>
    </row>
    <row r="558" spans="1:16">
      <c r="A558" t="s">
        <v>1021</v>
      </c>
      <c r="B558" t="s">
        <v>965</v>
      </c>
      <c r="C558">
        <v>5.3999999999999999E-2</v>
      </c>
      <c r="D558" t="s">
        <v>758</v>
      </c>
      <c r="E558" t="s">
        <v>1054</v>
      </c>
      <c r="F558" t="s">
        <v>979</v>
      </c>
      <c r="G558" t="s">
        <v>961</v>
      </c>
      <c r="H558">
        <v>1.669</v>
      </c>
      <c r="J558">
        <v>106271943</v>
      </c>
      <c r="K558" s="2">
        <v>43959</v>
      </c>
      <c r="L558">
        <v>30</v>
      </c>
      <c r="M558">
        <v>2</v>
      </c>
      <c r="N558">
        <v>7</v>
      </c>
      <c r="O558">
        <v>1</v>
      </c>
      <c r="P558" t="s">
        <v>8</v>
      </c>
    </row>
    <row r="559" spans="1:16">
      <c r="A559" t="s">
        <v>1021</v>
      </c>
      <c r="B559" t="s">
        <v>979</v>
      </c>
      <c r="C559">
        <v>0</v>
      </c>
      <c r="E559" t="s">
        <v>965</v>
      </c>
      <c r="G559" t="s">
        <v>979</v>
      </c>
      <c r="H559">
        <v>9.6630000000000003</v>
      </c>
      <c r="J559">
        <v>106296404</v>
      </c>
      <c r="K559" s="2">
        <v>43985</v>
      </c>
      <c r="L559">
        <v>21</v>
      </c>
      <c r="M559">
        <v>1</v>
      </c>
      <c r="N559">
        <v>8</v>
      </c>
      <c r="O559">
        <v>1</v>
      </c>
      <c r="P559" t="s">
        <v>7</v>
      </c>
    </row>
    <row r="560" spans="1:16">
      <c r="A560" t="s">
        <v>1021</v>
      </c>
      <c r="B560" t="s">
        <v>965</v>
      </c>
      <c r="C560">
        <v>2E-3</v>
      </c>
      <c r="D560" t="s">
        <v>758</v>
      </c>
      <c r="E560" t="s">
        <v>1023</v>
      </c>
      <c r="F560" t="s">
        <v>963</v>
      </c>
      <c r="G560" t="s">
        <v>961</v>
      </c>
      <c r="H560">
        <v>0.66300000000000003</v>
      </c>
      <c r="J560">
        <v>106211370</v>
      </c>
      <c r="K560" s="2">
        <v>43888</v>
      </c>
      <c r="L560">
        <v>28</v>
      </c>
      <c r="M560">
        <v>1</v>
      </c>
      <c r="N560">
        <v>7</v>
      </c>
      <c r="O560">
        <v>4</v>
      </c>
      <c r="P560" t="s">
        <v>7</v>
      </c>
    </row>
    <row r="561" spans="1:16">
      <c r="A561" t="s">
        <v>1021</v>
      </c>
      <c r="B561" t="s">
        <v>967</v>
      </c>
      <c r="C561">
        <v>0</v>
      </c>
      <c r="E561" t="s">
        <v>1029</v>
      </c>
      <c r="F561" t="s">
        <v>965</v>
      </c>
      <c r="G561" t="s">
        <v>960</v>
      </c>
      <c r="H561">
        <v>0.91100000000000003</v>
      </c>
      <c r="J561">
        <v>106211378</v>
      </c>
      <c r="K561" s="2">
        <v>43870</v>
      </c>
      <c r="L561">
        <v>30</v>
      </c>
      <c r="M561">
        <v>2</v>
      </c>
      <c r="N561">
        <v>8</v>
      </c>
      <c r="O561">
        <v>4</v>
      </c>
      <c r="P561" t="s">
        <v>7</v>
      </c>
    </row>
    <row r="562" spans="1:16">
      <c r="A562" t="s">
        <v>1021</v>
      </c>
      <c r="B562" t="s">
        <v>965</v>
      </c>
      <c r="C562">
        <v>4.0000000000000001E-3</v>
      </c>
      <c r="D562" t="s">
        <v>758</v>
      </c>
      <c r="E562" t="s">
        <v>967</v>
      </c>
      <c r="F562" t="s">
        <v>1020</v>
      </c>
      <c r="G562" t="s">
        <v>961</v>
      </c>
      <c r="H562">
        <v>0.20699999999999999</v>
      </c>
      <c r="J562">
        <v>106223033</v>
      </c>
      <c r="K562" s="2">
        <v>43901</v>
      </c>
      <c r="L562">
        <v>28</v>
      </c>
      <c r="M562">
        <v>1</v>
      </c>
      <c r="N562">
        <v>7</v>
      </c>
      <c r="O562">
        <v>1</v>
      </c>
      <c r="P562" t="s">
        <v>7</v>
      </c>
    </row>
    <row r="563" spans="1:16">
      <c r="A563" t="s">
        <v>1021</v>
      </c>
      <c r="B563" t="s">
        <v>968</v>
      </c>
      <c r="C563">
        <v>0</v>
      </c>
      <c r="E563" t="s">
        <v>965</v>
      </c>
      <c r="F563" t="s">
        <v>969</v>
      </c>
      <c r="G563" t="s">
        <v>968</v>
      </c>
      <c r="H563">
        <v>7.75</v>
      </c>
      <c r="J563">
        <v>106080404</v>
      </c>
      <c r="K563" s="2">
        <v>43799</v>
      </c>
      <c r="L563">
        <v>28</v>
      </c>
      <c r="M563">
        <v>1</v>
      </c>
      <c r="N563">
        <v>0</v>
      </c>
      <c r="O563">
        <v>1</v>
      </c>
      <c r="P563" t="s">
        <v>7</v>
      </c>
    </row>
    <row r="564" spans="1:16">
      <c r="A564" t="s">
        <v>1021</v>
      </c>
      <c r="B564" t="s">
        <v>965</v>
      </c>
      <c r="C564">
        <v>0</v>
      </c>
      <c r="E564" t="s">
        <v>1020</v>
      </c>
      <c r="F564" t="s">
        <v>967</v>
      </c>
      <c r="G564" t="s">
        <v>961</v>
      </c>
      <c r="H564">
        <v>0.34</v>
      </c>
      <c r="J564">
        <v>106186204</v>
      </c>
      <c r="K564" s="2">
        <v>43846</v>
      </c>
      <c r="L564">
        <v>30</v>
      </c>
      <c r="M564">
        <v>1</v>
      </c>
      <c r="N564">
        <v>8</v>
      </c>
      <c r="O564">
        <v>1</v>
      </c>
      <c r="P564" t="s">
        <v>8</v>
      </c>
    </row>
    <row r="565" spans="1:16">
      <c r="A565" t="s">
        <v>1021</v>
      </c>
      <c r="B565" t="s">
        <v>965</v>
      </c>
      <c r="C565">
        <v>0</v>
      </c>
      <c r="E565" t="s">
        <v>1062</v>
      </c>
      <c r="F565" t="s">
        <v>1061</v>
      </c>
      <c r="G565" t="s">
        <v>1063</v>
      </c>
      <c r="H565">
        <v>0.53900000000000003</v>
      </c>
      <c r="J565">
        <v>106186234</v>
      </c>
      <c r="K565" s="2">
        <v>43851</v>
      </c>
      <c r="L565">
        <v>21</v>
      </c>
      <c r="M565">
        <v>1</v>
      </c>
      <c r="N565">
        <v>7</v>
      </c>
      <c r="O565">
        <v>1</v>
      </c>
      <c r="P565" t="s">
        <v>7</v>
      </c>
    </row>
    <row r="566" spans="1:16">
      <c r="A566" t="s">
        <v>1021</v>
      </c>
      <c r="B566" t="s">
        <v>962</v>
      </c>
      <c r="C566">
        <v>0</v>
      </c>
      <c r="E566" t="s">
        <v>975</v>
      </c>
      <c r="F566" t="s">
        <v>973</v>
      </c>
      <c r="G566" t="s">
        <v>962</v>
      </c>
      <c r="H566">
        <v>1.9019999999999999</v>
      </c>
      <c r="J566">
        <v>106123663</v>
      </c>
      <c r="K566" s="2">
        <v>43833</v>
      </c>
      <c r="L566">
        <v>21</v>
      </c>
      <c r="M566">
        <v>2</v>
      </c>
      <c r="N566">
        <v>12</v>
      </c>
      <c r="O566">
        <v>1</v>
      </c>
      <c r="P566" t="s">
        <v>7</v>
      </c>
    </row>
    <row r="567" spans="1:16">
      <c r="A567" t="s">
        <v>1021</v>
      </c>
      <c r="B567" t="s">
        <v>964</v>
      </c>
      <c r="C567">
        <v>2.5000000000000001E-2</v>
      </c>
      <c r="D567" t="s">
        <v>763</v>
      </c>
      <c r="E567" t="s">
        <v>966</v>
      </c>
      <c r="F567" t="s">
        <v>1122</v>
      </c>
      <c r="G567" t="s">
        <v>960</v>
      </c>
      <c r="H567">
        <v>0.70199999999999996</v>
      </c>
      <c r="J567">
        <v>106167169</v>
      </c>
      <c r="K567" s="2">
        <v>43837</v>
      </c>
      <c r="L567">
        <v>21</v>
      </c>
      <c r="M567">
        <v>2</v>
      </c>
      <c r="N567">
        <v>10</v>
      </c>
      <c r="O567">
        <v>1</v>
      </c>
      <c r="P567" t="s">
        <v>7</v>
      </c>
    </row>
    <row r="568" spans="1:16">
      <c r="A568" t="s">
        <v>1021</v>
      </c>
      <c r="B568" t="s">
        <v>966</v>
      </c>
      <c r="C568">
        <v>6.6000000000000003E-2</v>
      </c>
      <c r="D568" t="s">
        <v>757</v>
      </c>
      <c r="E568" t="s">
        <v>1087</v>
      </c>
      <c r="F568" t="s">
        <v>1123</v>
      </c>
      <c r="H568">
        <v>999.99900000000002</v>
      </c>
      <c r="J568">
        <v>106095392</v>
      </c>
      <c r="K568" s="2">
        <v>43777</v>
      </c>
      <c r="L568">
        <v>2</v>
      </c>
      <c r="M568">
        <v>1</v>
      </c>
      <c r="N568">
        <v>0</v>
      </c>
      <c r="O568">
        <v>5</v>
      </c>
      <c r="P568" t="s">
        <v>8</v>
      </c>
    </row>
    <row r="569" spans="1:16">
      <c r="A569" t="s">
        <v>1021</v>
      </c>
      <c r="B569" t="s">
        <v>1124</v>
      </c>
      <c r="C569">
        <v>0</v>
      </c>
      <c r="D569" t="s">
        <v>758</v>
      </c>
      <c r="E569" t="s">
        <v>964</v>
      </c>
      <c r="F569" t="s">
        <v>968</v>
      </c>
      <c r="H569">
        <v>999.99900000000002</v>
      </c>
      <c r="J569">
        <v>106186842</v>
      </c>
      <c r="K569" s="2">
        <v>43860</v>
      </c>
      <c r="L569">
        <v>30</v>
      </c>
      <c r="M569">
        <v>1</v>
      </c>
      <c r="N569">
        <v>0</v>
      </c>
      <c r="O569">
        <v>4</v>
      </c>
      <c r="P569" t="s">
        <v>7</v>
      </c>
    </row>
    <row r="570" spans="1:16">
      <c r="A570" t="s">
        <v>1021</v>
      </c>
      <c r="B570" t="s">
        <v>968</v>
      </c>
      <c r="C570">
        <v>8.9999999999999993E-3</v>
      </c>
      <c r="D570" t="s">
        <v>765</v>
      </c>
      <c r="E570" t="s">
        <v>965</v>
      </c>
      <c r="F570" t="s">
        <v>964</v>
      </c>
      <c r="G570" t="s">
        <v>968</v>
      </c>
      <c r="H570">
        <v>7.7590000000000003</v>
      </c>
      <c r="J570">
        <v>107479859</v>
      </c>
      <c r="K570" s="2">
        <v>45206</v>
      </c>
      <c r="L570">
        <v>26</v>
      </c>
      <c r="M570">
        <v>1</v>
      </c>
      <c r="N570">
        <v>7</v>
      </c>
      <c r="O570">
        <v>5</v>
      </c>
      <c r="P570" t="s">
        <v>7</v>
      </c>
    </row>
    <row r="571" spans="1:16">
      <c r="A571" t="s">
        <v>1021</v>
      </c>
      <c r="B571" t="s">
        <v>965</v>
      </c>
      <c r="C571">
        <v>2.4E-2</v>
      </c>
      <c r="D571" t="s">
        <v>758</v>
      </c>
      <c r="E571" t="s">
        <v>1056</v>
      </c>
      <c r="F571" t="s">
        <v>1023</v>
      </c>
      <c r="G571" t="s">
        <v>961</v>
      </c>
      <c r="H571">
        <v>1.2529999999999999</v>
      </c>
      <c r="J571">
        <v>106187495</v>
      </c>
      <c r="K571" s="2">
        <v>43846</v>
      </c>
      <c r="L571">
        <v>21</v>
      </c>
      <c r="M571">
        <v>1</v>
      </c>
      <c r="N571">
        <v>0</v>
      </c>
      <c r="O571">
        <v>1</v>
      </c>
      <c r="P571" t="s">
        <v>3</v>
      </c>
    </row>
    <row r="572" spans="1:16">
      <c r="A572" t="s">
        <v>1021</v>
      </c>
      <c r="B572" t="s">
        <v>979</v>
      </c>
      <c r="C572">
        <v>0</v>
      </c>
      <c r="E572" t="s">
        <v>965</v>
      </c>
      <c r="F572" t="s">
        <v>1071</v>
      </c>
      <c r="G572" t="s">
        <v>979</v>
      </c>
      <c r="H572">
        <v>9.6630000000000003</v>
      </c>
      <c r="J572">
        <v>106802384</v>
      </c>
      <c r="K572" s="2">
        <v>44515</v>
      </c>
      <c r="L572">
        <v>17</v>
      </c>
      <c r="M572">
        <v>1</v>
      </c>
      <c r="N572">
        <v>0</v>
      </c>
      <c r="O572">
        <v>2</v>
      </c>
      <c r="P572" t="s">
        <v>7</v>
      </c>
    </row>
    <row r="573" spans="1:16">
      <c r="A573" t="s">
        <v>1021</v>
      </c>
      <c r="B573" t="s">
        <v>965</v>
      </c>
      <c r="C573">
        <v>1.9E-2</v>
      </c>
      <c r="D573" t="s">
        <v>756</v>
      </c>
      <c r="E573" t="s">
        <v>1032</v>
      </c>
      <c r="F573" t="s">
        <v>1033</v>
      </c>
      <c r="G573" t="s">
        <v>961</v>
      </c>
      <c r="H573">
        <v>1.8620000000000001</v>
      </c>
      <c r="J573">
        <v>106211353</v>
      </c>
      <c r="K573" s="2">
        <v>43880</v>
      </c>
      <c r="L573">
        <v>30</v>
      </c>
      <c r="M573">
        <v>2</v>
      </c>
      <c r="N573">
        <v>4</v>
      </c>
      <c r="O573">
        <v>1</v>
      </c>
      <c r="P573" t="s">
        <v>7</v>
      </c>
    </row>
    <row r="574" spans="1:16">
      <c r="A574" t="s">
        <v>1021</v>
      </c>
      <c r="B574" t="s">
        <v>967</v>
      </c>
      <c r="C574">
        <v>0</v>
      </c>
      <c r="E574" t="s">
        <v>1029</v>
      </c>
      <c r="F574" t="s">
        <v>1019</v>
      </c>
      <c r="G574" t="s">
        <v>960</v>
      </c>
      <c r="H574">
        <v>0.91100000000000003</v>
      </c>
      <c r="J574">
        <v>106211354</v>
      </c>
      <c r="K574" s="2">
        <v>43880</v>
      </c>
      <c r="L574">
        <v>21</v>
      </c>
      <c r="M574">
        <v>2</v>
      </c>
      <c r="N574">
        <v>0</v>
      </c>
      <c r="O574">
        <v>1</v>
      </c>
      <c r="P574" t="s">
        <v>7</v>
      </c>
    </row>
    <row r="575" spans="1:16">
      <c r="A575" t="s">
        <v>1021</v>
      </c>
      <c r="B575" t="s">
        <v>1035</v>
      </c>
      <c r="C575">
        <v>0</v>
      </c>
      <c r="E575" t="s">
        <v>965</v>
      </c>
      <c r="F575" t="s">
        <v>1033</v>
      </c>
      <c r="G575" t="s">
        <v>1036</v>
      </c>
      <c r="H575">
        <v>0.48</v>
      </c>
      <c r="J575">
        <v>108089427</v>
      </c>
      <c r="K575" s="2">
        <v>45771</v>
      </c>
      <c r="L575">
        <v>23</v>
      </c>
      <c r="M575">
        <v>1</v>
      </c>
      <c r="N575">
        <v>7</v>
      </c>
      <c r="O575">
        <v>1</v>
      </c>
      <c r="P575" t="s">
        <v>3</v>
      </c>
    </row>
    <row r="576" spans="1:16">
      <c r="A576" t="s">
        <v>1021</v>
      </c>
      <c r="B576" t="s">
        <v>965</v>
      </c>
      <c r="C576">
        <v>4.0000000000000001E-3</v>
      </c>
      <c r="D576" t="s">
        <v>758</v>
      </c>
      <c r="E576" t="s">
        <v>967</v>
      </c>
      <c r="F576" t="s">
        <v>968</v>
      </c>
      <c r="G576" t="s">
        <v>961</v>
      </c>
      <c r="H576">
        <v>0.20699999999999999</v>
      </c>
      <c r="J576">
        <v>106350413</v>
      </c>
      <c r="K576" s="2">
        <v>44069</v>
      </c>
      <c r="L576">
        <v>21</v>
      </c>
      <c r="M576">
        <v>1</v>
      </c>
      <c r="O576">
        <v>1</v>
      </c>
      <c r="P576" t="s">
        <v>7</v>
      </c>
    </row>
    <row r="577" spans="1:16">
      <c r="A577" t="s">
        <v>1021</v>
      </c>
      <c r="B577" t="s">
        <v>965</v>
      </c>
      <c r="C577">
        <v>4.0000000000000001E-3</v>
      </c>
      <c r="D577" t="s">
        <v>758</v>
      </c>
      <c r="E577" t="s">
        <v>1125</v>
      </c>
      <c r="F577" t="s">
        <v>968</v>
      </c>
      <c r="H577">
        <v>999.99900000000002</v>
      </c>
      <c r="J577">
        <v>106363268</v>
      </c>
      <c r="K577" s="2">
        <v>44078</v>
      </c>
      <c r="L577">
        <v>21</v>
      </c>
      <c r="M577">
        <v>1</v>
      </c>
      <c r="N577">
        <v>7</v>
      </c>
      <c r="O577">
        <v>5</v>
      </c>
      <c r="P577" t="s">
        <v>7</v>
      </c>
    </row>
    <row r="578" spans="1:16">
      <c r="A578" t="s">
        <v>1021</v>
      </c>
      <c r="B578" t="s">
        <v>965</v>
      </c>
      <c r="C578">
        <v>0</v>
      </c>
      <c r="E578" t="s">
        <v>1023</v>
      </c>
      <c r="F578" t="s">
        <v>1039</v>
      </c>
      <c r="G578" t="s">
        <v>961</v>
      </c>
      <c r="H578">
        <v>0.66500000000000004</v>
      </c>
      <c r="J578">
        <v>108465677</v>
      </c>
      <c r="K578" s="2">
        <v>46086</v>
      </c>
      <c r="L578">
        <v>21</v>
      </c>
      <c r="M578">
        <v>1</v>
      </c>
      <c r="N578">
        <v>7</v>
      </c>
      <c r="O578">
        <v>1</v>
      </c>
      <c r="P578" t="s">
        <v>3</v>
      </c>
    </row>
    <row r="579" spans="1:16">
      <c r="A579" t="s">
        <v>1021</v>
      </c>
      <c r="B579" t="s">
        <v>962</v>
      </c>
      <c r="C579">
        <v>0</v>
      </c>
      <c r="E579" t="s">
        <v>968</v>
      </c>
      <c r="F579" t="s">
        <v>962</v>
      </c>
      <c r="G579" t="s">
        <v>962</v>
      </c>
      <c r="H579">
        <v>2.1920000000000002</v>
      </c>
      <c r="J579">
        <v>106343026</v>
      </c>
      <c r="K579" s="2">
        <v>44089</v>
      </c>
      <c r="L579">
        <v>21</v>
      </c>
      <c r="M579">
        <v>1</v>
      </c>
      <c r="N579">
        <v>0</v>
      </c>
      <c r="O579">
        <v>1</v>
      </c>
      <c r="P579" t="s">
        <v>7</v>
      </c>
    </row>
    <row r="580" spans="1:16">
      <c r="A580" t="s">
        <v>1021</v>
      </c>
      <c r="B580" t="s">
        <v>966</v>
      </c>
      <c r="C580">
        <v>0</v>
      </c>
      <c r="E580" t="s">
        <v>1028</v>
      </c>
      <c r="F580" t="s">
        <v>1029</v>
      </c>
      <c r="H580">
        <v>999.99900000000002</v>
      </c>
      <c r="J580">
        <v>106350426</v>
      </c>
      <c r="K580" s="2">
        <v>44058</v>
      </c>
      <c r="L580">
        <v>30</v>
      </c>
      <c r="M580">
        <v>1</v>
      </c>
      <c r="N580">
        <v>7</v>
      </c>
      <c r="O580">
        <v>1</v>
      </c>
      <c r="P580" t="s">
        <v>7</v>
      </c>
    </row>
    <row r="581" spans="1:16">
      <c r="A581" t="s">
        <v>1021</v>
      </c>
      <c r="B581" t="s">
        <v>965</v>
      </c>
      <c r="C581">
        <v>0</v>
      </c>
      <c r="E581" t="s">
        <v>1035</v>
      </c>
      <c r="F581" t="s">
        <v>1033</v>
      </c>
      <c r="G581" t="s">
        <v>961</v>
      </c>
      <c r="H581">
        <v>1.893</v>
      </c>
      <c r="J581">
        <v>106331707</v>
      </c>
      <c r="K581" s="2">
        <v>44029</v>
      </c>
      <c r="L581">
        <v>1</v>
      </c>
      <c r="M581">
        <v>1</v>
      </c>
      <c r="N581">
        <v>7</v>
      </c>
      <c r="O581">
        <v>1</v>
      </c>
      <c r="P581" t="s">
        <v>7</v>
      </c>
    </row>
    <row r="582" spans="1:16">
      <c r="A582" t="s">
        <v>1021</v>
      </c>
      <c r="B582" t="s">
        <v>965</v>
      </c>
      <c r="C582">
        <v>0</v>
      </c>
      <c r="E582" t="s">
        <v>1032</v>
      </c>
      <c r="G582" t="s">
        <v>961</v>
      </c>
      <c r="H582">
        <v>1.843</v>
      </c>
      <c r="J582">
        <v>106330280</v>
      </c>
      <c r="K582" s="2">
        <v>44040</v>
      </c>
      <c r="L582">
        <v>30</v>
      </c>
      <c r="M582">
        <v>1</v>
      </c>
      <c r="N582">
        <v>7</v>
      </c>
      <c r="O582">
        <v>1</v>
      </c>
      <c r="P582" t="s">
        <v>7</v>
      </c>
    </row>
    <row r="583" spans="1:16">
      <c r="A583" t="s">
        <v>1021</v>
      </c>
      <c r="B583" t="s">
        <v>965</v>
      </c>
      <c r="C583">
        <v>4.0000000000000001E-3</v>
      </c>
      <c r="D583" t="s">
        <v>758</v>
      </c>
      <c r="E583" t="s">
        <v>1064</v>
      </c>
      <c r="F583" t="s">
        <v>1056</v>
      </c>
      <c r="G583" t="s">
        <v>961</v>
      </c>
      <c r="H583">
        <v>1.401</v>
      </c>
      <c r="J583">
        <v>106337857</v>
      </c>
      <c r="K583" s="2">
        <v>44045</v>
      </c>
      <c r="L583">
        <v>21</v>
      </c>
      <c r="M583">
        <v>1</v>
      </c>
      <c r="N583">
        <v>7</v>
      </c>
      <c r="O583">
        <v>4</v>
      </c>
      <c r="P583" t="s">
        <v>3</v>
      </c>
    </row>
    <row r="584" spans="1:16">
      <c r="A584" t="s">
        <v>1021</v>
      </c>
      <c r="B584" t="s">
        <v>966</v>
      </c>
      <c r="C584">
        <v>0</v>
      </c>
      <c r="E584" t="s">
        <v>1086</v>
      </c>
      <c r="F584" t="s">
        <v>1087</v>
      </c>
      <c r="H584">
        <v>999.99900000000002</v>
      </c>
      <c r="J584">
        <v>106337864</v>
      </c>
      <c r="K584" s="2">
        <v>44053</v>
      </c>
      <c r="L584">
        <v>24</v>
      </c>
      <c r="M584">
        <v>2</v>
      </c>
      <c r="N584">
        <v>8</v>
      </c>
      <c r="O584">
        <v>1</v>
      </c>
      <c r="P584" t="s">
        <v>7</v>
      </c>
    </row>
    <row r="585" spans="1:16">
      <c r="A585" t="s">
        <v>1021</v>
      </c>
      <c r="B585" t="s">
        <v>962</v>
      </c>
      <c r="C585">
        <v>1.9E-2</v>
      </c>
      <c r="D585" t="s">
        <v>756</v>
      </c>
      <c r="E585" t="s">
        <v>968</v>
      </c>
      <c r="F585" t="s">
        <v>960</v>
      </c>
      <c r="G585" t="s">
        <v>962</v>
      </c>
      <c r="H585">
        <v>2.1920000000000002</v>
      </c>
      <c r="J585">
        <v>106355502</v>
      </c>
      <c r="K585" s="2">
        <v>44104</v>
      </c>
      <c r="L585">
        <v>21</v>
      </c>
      <c r="M585">
        <v>1</v>
      </c>
      <c r="N585">
        <v>0</v>
      </c>
      <c r="O585">
        <v>1</v>
      </c>
      <c r="P585" t="s">
        <v>3</v>
      </c>
    </row>
    <row r="586" spans="1:16">
      <c r="A586" t="s">
        <v>1021</v>
      </c>
      <c r="B586" t="s">
        <v>966</v>
      </c>
      <c r="C586">
        <v>0</v>
      </c>
      <c r="E586" t="s">
        <v>1028</v>
      </c>
      <c r="F586" t="s">
        <v>1050</v>
      </c>
      <c r="H586">
        <v>999.99900000000002</v>
      </c>
      <c r="J586">
        <v>106830777</v>
      </c>
      <c r="K586" s="2">
        <v>44573</v>
      </c>
      <c r="L586">
        <v>30</v>
      </c>
      <c r="M586">
        <v>1</v>
      </c>
      <c r="N586">
        <v>7</v>
      </c>
      <c r="O586">
        <v>1</v>
      </c>
      <c r="P586" t="s">
        <v>7</v>
      </c>
    </row>
    <row r="587" spans="1:16">
      <c r="A587" t="s">
        <v>1021</v>
      </c>
      <c r="B587" t="s">
        <v>1075</v>
      </c>
      <c r="C587">
        <v>1.0999999999999999E-2</v>
      </c>
      <c r="D587" t="s">
        <v>757</v>
      </c>
      <c r="E587" t="s">
        <v>965</v>
      </c>
      <c r="H587">
        <v>999.99900000000002</v>
      </c>
      <c r="J587">
        <v>106372333</v>
      </c>
      <c r="K587" s="2">
        <v>44090</v>
      </c>
      <c r="L587">
        <v>21</v>
      </c>
      <c r="M587">
        <v>1</v>
      </c>
      <c r="N587">
        <v>0</v>
      </c>
      <c r="O587">
        <v>1</v>
      </c>
      <c r="P587" t="s">
        <v>7</v>
      </c>
    </row>
    <row r="588" spans="1:16">
      <c r="A588" t="s">
        <v>1021</v>
      </c>
      <c r="B588" t="s">
        <v>965</v>
      </c>
      <c r="C588">
        <v>0</v>
      </c>
      <c r="E588" t="s">
        <v>967</v>
      </c>
      <c r="F588" t="s">
        <v>968</v>
      </c>
      <c r="G588" t="s">
        <v>961</v>
      </c>
      <c r="H588">
        <v>0.21099999999999999</v>
      </c>
      <c r="J588">
        <v>106372334</v>
      </c>
      <c r="K588" s="2">
        <v>44095</v>
      </c>
      <c r="L588">
        <v>30</v>
      </c>
      <c r="M588">
        <v>1</v>
      </c>
      <c r="O588">
        <v>1</v>
      </c>
      <c r="P588" t="s">
        <v>3</v>
      </c>
    </row>
    <row r="589" spans="1:16">
      <c r="A589" t="s">
        <v>1021</v>
      </c>
      <c r="B589" t="s">
        <v>1035</v>
      </c>
      <c r="C589">
        <v>0</v>
      </c>
      <c r="E589" t="s">
        <v>965</v>
      </c>
      <c r="F589" t="s">
        <v>1033</v>
      </c>
      <c r="G589" t="s">
        <v>1036</v>
      </c>
      <c r="H589">
        <v>0.48</v>
      </c>
      <c r="J589">
        <v>106350385</v>
      </c>
      <c r="K589" s="2">
        <v>44060</v>
      </c>
      <c r="L589">
        <v>28</v>
      </c>
      <c r="M589">
        <v>1</v>
      </c>
      <c r="O589">
        <v>1</v>
      </c>
      <c r="P589" t="s">
        <v>7</v>
      </c>
    </row>
    <row r="590" spans="1:16">
      <c r="A590" t="s">
        <v>1021</v>
      </c>
      <c r="B590" t="s">
        <v>965</v>
      </c>
      <c r="C590">
        <v>0</v>
      </c>
      <c r="E590" t="s">
        <v>1023</v>
      </c>
      <c r="F590" t="s">
        <v>1039</v>
      </c>
      <c r="G590" t="s">
        <v>961</v>
      </c>
      <c r="H590">
        <v>0.66500000000000004</v>
      </c>
      <c r="J590">
        <v>106350389</v>
      </c>
      <c r="K590" s="2">
        <v>44064</v>
      </c>
      <c r="L590">
        <v>30</v>
      </c>
      <c r="M590">
        <v>2</v>
      </c>
      <c r="N590">
        <v>7</v>
      </c>
      <c r="O590">
        <v>1</v>
      </c>
      <c r="P590" t="s">
        <v>8</v>
      </c>
    </row>
    <row r="591" spans="1:16">
      <c r="A591" t="s">
        <v>1021</v>
      </c>
      <c r="B591" t="s">
        <v>968</v>
      </c>
      <c r="C591">
        <v>0</v>
      </c>
      <c r="E591" t="s">
        <v>965</v>
      </c>
      <c r="F591" t="s">
        <v>1072</v>
      </c>
      <c r="G591" t="s">
        <v>968</v>
      </c>
      <c r="H591">
        <v>7.75</v>
      </c>
      <c r="J591">
        <v>106363253</v>
      </c>
      <c r="K591" s="2">
        <v>44075</v>
      </c>
      <c r="L591">
        <v>30</v>
      </c>
      <c r="M591">
        <v>1</v>
      </c>
      <c r="N591">
        <v>7</v>
      </c>
      <c r="O591">
        <v>4</v>
      </c>
      <c r="P591" t="s">
        <v>3</v>
      </c>
    </row>
    <row r="592" spans="1:16">
      <c r="A592" t="s">
        <v>1021</v>
      </c>
      <c r="B592" t="s">
        <v>965</v>
      </c>
      <c r="C592">
        <v>0</v>
      </c>
      <c r="E592" t="s">
        <v>1067</v>
      </c>
      <c r="F592" t="s">
        <v>1020</v>
      </c>
      <c r="G592" t="s">
        <v>965</v>
      </c>
      <c r="H592">
        <v>999.99900000000002</v>
      </c>
      <c r="J592">
        <v>106431907</v>
      </c>
      <c r="K592" s="2">
        <v>44152</v>
      </c>
      <c r="L592">
        <v>30</v>
      </c>
      <c r="M592">
        <v>1</v>
      </c>
      <c r="N592">
        <v>7</v>
      </c>
      <c r="O592">
        <v>1</v>
      </c>
      <c r="P592" t="s">
        <v>7</v>
      </c>
    </row>
    <row r="593" spans="1:16">
      <c r="A593" t="s">
        <v>1021</v>
      </c>
      <c r="B593" t="s">
        <v>966</v>
      </c>
      <c r="C593">
        <v>0</v>
      </c>
      <c r="E593" t="s">
        <v>1102</v>
      </c>
      <c r="F593" t="s">
        <v>1028</v>
      </c>
      <c r="H593">
        <v>999.99900000000002</v>
      </c>
      <c r="J593">
        <v>106431933</v>
      </c>
      <c r="K593" s="2">
        <v>44154</v>
      </c>
      <c r="L593">
        <v>19</v>
      </c>
      <c r="M593">
        <v>1</v>
      </c>
      <c r="O593">
        <v>3</v>
      </c>
      <c r="P593" t="s">
        <v>7</v>
      </c>
    </row>
    <row r="594" spans="1:16">
      <c r="A594" t="s">
        <v>1021</v>
      </c>
      <c r="B594" t="s">
        <v>965</v>
      </c>
      <c r="C594">
        <v>0</v>
      </c>
      <c r="E594" t="s">
        <v>1020</v>
      </c>
      <c r="G594" t="s">
        <v>961</v>
      </c>
      <c r="H594">
        <v>0.34</v>
      </c>
      <c r="J594">
        <v>106416194</v>
      </c>
      <c r="K594" s="2">
        <v>44146</v>
      </c>
      <c r="L594">
        <v>13</v>
      </c>
      <c r="M594">
        <v>2</v>
      </c>
      <c r="O594">
        <v>1</v>
      </c>
      <c r="P594" t="s">
        <v>8</v>
      </c>
    </row>
    <row r="595" spans="1:16">
      <c r="A595" t="s">
        <v>754</v>
      </c>
      <c r="B595" t="s">
        <v>962</v>
      </c>
      <c r="C595">
        <v>0</v>
      </c>
      <c r="E595" t="s">
        <v>975</v>
      </c>
      <c r="F595" t="s">
        <v>973</v>
      </c>
      <c r="G595" t="s">
        <v>962</v>
      </c>
      <c r="H595">
        <v>1.9019999999999999</v>
      </c>
      <c r="J595">
        <v>106428434</v>
      </c>
      <c r="K595" s="2">
        <v>44169</v>
      </c>
      <c r="L595">
        <v>21</v>
      </c>
      <c r="M595">
        <v>1</v>
      </c>
      <c r="N595">
        <v>0</v>
      </c>
      <c r="O595">
        <v>1</v>
      </c>
      <c r="P595" t="s">
        <v>7</v>
      </c>
    </row>
    <row r="596" spans="1:16">
      <c r="A596" t="s">
        <v>1021</v>
      </c>
      <c r="B596" t="s">
        <v>965</v>
      </c>
      <c r="C596">
        <v>0</v>
      </c>
      <c r="E596" t="s">
        <v>1037</v>
      </c>
      <c r="F596" t="s">
        <v>1064</v>
      </c>
      <c r="G596" t="s">
        <v>961</v>
      </c>
      <c r="H596">
        <v>0.66500000000000004</v>
      </c>
      <c r="J596">
        <v>106416574</v>
      </c>
      <c r="K596" s="2">
        <v>44148</v>
      </c>
      <c r="L596">
        <v>25</v>
      </c>
      <c r="M596">
        <v>1</v>
      </c>
      <c r="O596">
        <v>1</v>
      </c>
      <c r="P596" t="s">
        <v>7</v>
      </c>
    </row>
    <row r="597" spans="1:16">
      <c r="A597" t="s">
        <v>1021</v>
      </c>
      <c r="B597" t="s">
        <v>965</v>
      </c>
      <c r="C597">
        <v>0.1</v>
      </c>
      <c r="D597" t="s">
        <v>756</v>
      </c>
      <c r="E597" t="s">
        <v>1052</v>
      </c>
      <c r="F597" t="s">
        <v>1054</v>
      </c>
      <c r="G597" t="s">
        <v>961</v>
      </c>
      <c r="H597">
        <v>1.5309999999999999</v>
      </c>
      <c r="J597">
        <v>106386253</v>
      </c>
      <c r="K597" s="2">
        <v>44112</v>
      </c>
      <c r="L597">
        <v>21</v>
      </c>
      <c r="M597">
        <v>1</v>
      </c>
      <c r="N597">
        <v>1</v>
      </c>
      <c r="O597">
        <v>1</v>
      </c>
      <c r="P597" t="s">
        <v>3</v>
      </c>
    </row>
    <row r="598" spans="1:16">
      <c r="A598" t="s">
        <v>1021</v>
      </c>
      <c r="B598" t="s">
        <v>966</v>
      </c>
      <c r="C598">
        <v>0</v>
      </c>
      <c r="E598" t="s">
        <v>1028</v>
      </c>
      <c r="F598" t="s">
        <v>1050</v>
      </c>
      <c r="H598">
        <v>999.99900000000002</v>
      </c>
      <c r="J598">
        <v>106385300</v>
      </c>
      <c r="K598" s="2">
        <v>44106</v>
      </c>
      <c r="L598">
        <v>30</v>
      </c>
      <c r="M598">
        <v>1</v>
      </c>
      <c r="N598">
        <v>7</v>
      </c>
      <c r="O598">
        <v>1</v>
      </c>
      <c r="P598" t="s">
        <v>7</v>
      </c>
    </row>
    <row r="599" spans="1:16">
      <c r="A599" t="s">
        <v>1021</v>
      </c>
      <c r="B599" t="s">
        <v>979</v>
      </c>
      <c r="C599">
        <v>2.8000000000000001E-2</v>
      </c>
      <c r="D599" t="s">
        <v>757</v>
      </c>
      <c r="E599" t="s">
        <v>965</v>
      </c>
      <c r="F599" t="s">
        <v>1051</v>
      </c>
      <c r="G599" t="s">
        <v>979</v>
      </c>
      <c r="H599">
        <v>9.6910000000000007</v>
      </c>
      <c r="J599">
        <v>106480598</v>
      </c>
      <c r="K599" s="2">
        <v>44180</v>
      </c>
      <c r="L599">
        <v>28</v>
      </c>
      <c r="M599">
        <v>1</v>
      </c>
      <c r="O599">
        <v>1</v>
      </c>
      <c r="P599" t="s">
        <v>7</v>
      </c>
    </row>
    <row r="600" spans="1:16">
      <c r="A600" t="s">
        <v>754</v>
      </c>
      <c r="B600" t="s">
        <v>962</v>
      </c>
      <c r="C600">
        <v>0</v>
      </c>
      <c r="E600" t="s">
        <v>977</v>
      </c>
      <c r="F600" t="s">
        <v>968</v>
      </c>
      <c r="G600" t="s">
        <v>962</v>
      </c>
      <c r="H600">
        <v>1.988</v>
      </c>
      <c r="J600">
        <v>106445335</v>
      </c>
      <c r="K600" s="2">
        <v>44183</v>
      </c>
      <c r="L600">
        <v>26</v>
      </c>
      <c r="M600">
        <v>1</v>
      </c>
      <c r="N600">
        <v>8</v>
      </c>
      <c r="O600">
        <v>1</v>
      </c>
      <c r="P600" t="s">
        <v>7</v>
      </c>
    </row>
    <row r="601" spans="1:16">
      <c r="A601" t="s">
        <v>1021</v>
      </c>
      <c r="B601" t="s">
        <v>1026</v>
      </c>
      <c r="C601">
        <v>0</v>
      </c>
      <c r="E601" t="s">
        <v>965</v>
      </c>
      <c r="F601" t="s">
        <v>1097</v>
      </c>
      <c r="G601" t="s">
        <v>1036</v>
      </c>
      <c r="H601">
        <v>0.64300000000000002</v>
      </c>
      <c r="J601">
        <v>106471975</v>
      </c>
      <c r="K601" s="2">
        <v>44183</v>
      </c>
      <c r="L601">
        <v>2</v>
      </c>
      <c r="M601">
        <v>1</v>
      </c>
      <c r="N601">
        <v>9</v>
      </c>
      <c r="O601">
        <v>5</v>
      </c>
      <c r="P601" t="s">
        <v>7</v>
      </c>
    </row>
    <row r="602" spans="1:16">
      <c r="A602" t="s">
        <v>1021</v>
      </c>
      <c r="B602" t="s">
        <v>965</v>
      </c>
      <c r="C602">
        <v>0</v>
      </c>
      <c r="E602" t="s">
        <v>1023</v>
      </c>
      <c r="F602" t="s">
        <v>1020</v>
      </c>
      <c r="G602" t="s">
        <v>961</v>
      </c>
      <c r="H602">
        <v>0.66500000000000004</v>
      </c>
      <c r="J602">
        <v>106456200</v>
      </c>
      <c r="K602" s="2">
        <v>44176</v>
      </c>
      <c r="L602">
        <v>2</v>
      </c>
      <c r="M602">
        <v>1</v>
      </c>
      <c r="N602">
        <v>7</v>
      </c>
      <c r="O602">
        <v>1</v>
      </c>
      <c r="P602" t="s">
        <v>3</v>
      </c>
    </row>
    <row r="603" spans="1:16">
      <c r="A603" t="s">
        <v>1021</v>
      </c>
      <c r="B603" t="s">
        <v>1023</v>
      </c>
      <c r="C603">
        <v>0</v>
      </c>
      <c r="E603" t="s">
        <v>965</v>
      </c>
      <c r="F603" t="s">
        <v>1067</v>
      </c>
      <c r="G603" t="s">
        <v>961</v>
      </c>
      <c r="H603">
        <v>0.66500000000000004</v>
      </c>
      <c r="J603">
        <v>106480728</v>
      </c>
      <c r="K603" s="2">
        <v>44183</v>
      </c>
      <c r="L603">
        <v>21</v>
      </c>
      <c r="M603">
        <v>1</v>
      </c>
      <c r="N603">
        <v>7</v>
      </c>
      <c r="O603">
        <v>1</v>
      </c>
      <c r="P603" t="s">
        <v>7</v>
      </c>
    </row>
    <row r="604" spans="1:16">
      <c r="A604" t="s">
        <v>1021</v>
      </c>
      <c r="B604" t="s">
        <v>965</v>
      </c>
      <c r="C604">
        <v>1.9E-2</v>
      </c>
      <c r="D604" t="s">
        <v>756</v>
      </c>
      <c r="E604" t="s">
        <v>1097</v>
      </c>
      <c r="F604" t="s">
        <v>1099</v>
      </c>
      <c r="G604" t="s">
        <v>1063</v>
      </c>
      <c r="H604">
        <v>0.183</v>
      </c>
      <c r="J604">
        <v>106456267</v>
      </c>
      <c r="K604" s="2">
        <v>44172</v>
      </c>
      <c r="L604">
        <v>1</v>
      </c>
      <c r="M604">
        <v>2</v>
      </c>
      <c r="N604">
        <v>0</v>
      </c>
      <c r="O604">
        <v>1</v>
      </c>
      <c r="P604" t="s">
        <v>7</v>
      </c>
    </row>
    <row r="605" spans="1:16">
      <c r="A605" t="s">
        <v>1021</v>
      </c>
      <c r="B605" t="s">
        <v>965</v>
      </c>
      <c r="C605">
        <v>0.1</v>
      </c>
      <c r="D605" t="s">
        <v>758</v>
      </c>
      <c r="E605" t="s">
        <v>967</v>
      </c>
      <c r="F605" t="s">
        <v>968</v>
      </c>
      <c r="G605" t="s">
        <v>961</v>
      </c>
      <c r="H605">
        <v>0.111</v>
      </c>
      <c r="J605">
        <v>106482329</v>
      </c>
      <c r="K605" s="2">
        <v>44183</v>
      </c>
      <c r="L605">
        <v>30</v>
      </c>
      <c r="M605">
        <v>1</v>
      </c>
      <c r="N605">
        <v>8</v>
      </c>
      <c r="O605">
        <v>1</v>
      </c>
      <c r="P605" t="s">
        <v>7</v>
      </c>
    </row>
    <row r="606" spans="1:16">
      <c r="A606" t="s">
        <v>1021</v>
      </c>
      <c r="B606" t="s">
        <v>965</v>
      </c>
      <c r="C606">
        <v>0</v>
      </c>
      <c r="E606" t="s">
        <v>979</v>
      </c>
      <c r="F606" t="s">
        <v>1054</v>
      </c>
      <c r="G606" t="s">
        <v>961</v>
      </c>
      <c r="H606">
        <v>1.5960000000000001</v>
      </c>
      <c r="J606">
        <v>107502022</v>
      </c>
      <c r="K606" s="2">
        <v>45224</v>
      </c>
      <c r="L606">
        <v>17</v>
      </c>
      <c r="M606">
        <v>1</v>
      </c>
      <c r="N606">
        <v>1</v>
      </c>
      <c r="O606">
        <v>1</v>
      </c>
      <c r="P606" t="s">
        <v>7</v>
      </c>
    </row>
    <row r="607" spans="1:16">
      <c r="A607" t="s">
        <v>1021</v>
      </c>
      <c r="B607" t="s">
        <v>965</v>
      </c>
      <c r="C607">
        <v>0</v>
      </c>
      <c r="E607" t="s">
        <v>1067</v>
      </c>
      <c r="F607" t="s">
        <v>1020</v>
      </c>
      <c r="G607" t="s">
        <v>965</v>
      </c>
      <c r="H607">
        <v>999.99900000000002</v>
      </c>
      <c r="J607">
        <v>106437209</v>
      </c>
      <c r="K607" s="2">
        <v>44177</v>
      </c>
      <c r="L607">
        <v>21</v>
      </c>
      <c r="M607">
        <v>1</v>
      </c>
      <c r="N607">
        <v>7</v>
      </c>
      <c r="O607">
        <v>4</v>
      </c>
      <c r="P607" t="s">
        <v>7</v>
      </c>
    </row>
    <row r="608" spans="1:16">
      <c r="A608" t="s">
        <v>1021</v>
      </c>
      <c r="B608" t="s">
        <v>967</v>
      </c>
      <c r="C608">
        <v>0</v>
      </c>
      <c r="E608" t="s">
        <v>1018</v>
      </c>
      <c r="F608" t="s">
        <v>1019</v>
      </c>
      <c r="G608" t="s">
        <v>960</v>
      </c>
      <c r="H608">
        <v>1.3620000000000001</v>
      </c>
      <c r="J608">
        <v>106529572</v>
      </c>
      <c r="K608" s="2">
        <v>44202</v>
      </c>
      <c r="L608">
        <v>26</v>
      </c>
      <c r="M608">
        <v>1</v>
      </c>
      <c r="N608">
        <v>8</v>
      </c>
      <c r="O608">
        <v>5</v>
      </c>
    </row>
    <row r="609" spans="1:16">
      <c r="A609" t="s">
        <v>1021</v>
      </c>
      <c r="B609" t="s">
        <v>1032</v>
      </c>
      <c r="C609">
        <v>1.2E-2</v>
      </c>
      <c r="D609" t="s">
        <v>757</v>
      </c>
      <c r="E609" t="s">
        <v>965</v>
      </c>
      <c r="F609" t="s">
        <v>1126</v>
      </c>
      <c r="G609" t="s">
        <v>1032</v>
      </c>
      <c r="H609">
        <v>0.13200000000000001</v>
      </c>
      <c r="J609">
        <v>106521731</v>
      </c>
      <c r="K609" s="2">
        <v>44229</v>
      </c>
      <c r="L609">
        <v>1</v>
      </c>
      <c r="M609">
        <v>1</v>
      </c>
      <c r="N609">
        <v>12</v>
      </c>
      <c r="O609">
        <v>1</v>
      </c>
      <c r="P609" t="s">
        <v>7</v>
      </c>
    </row>
    <row r="610" spans="1:16">
      <c r="A610" t="s">
        <v>1021</v>
      </c>
      <c r="B610" t="s">
        <v>965</v>
      </c>
      <c r="C610">
        <v>0</v>
      </c>
      <c r="E610" t="s">
        <v>1023</v>
      </c>
      <c r="F610" t="s">
        <v>1037</v>
      </c>
      <c r="G610" t="s">
        <v>961</v>
      </c>
      <c r="H610">
        <v>0.66500000000000004</v>
      </c>
      <c r="J610">
        <v>106521746</v>
      </c>
      <c r="K610" s="2">
        <v>44233</v>
      </c>
      <c r="L610">
        <v>30</v>
      </c>
      <c r="M610">
        <v>2</v>
      </c>
      <c r="N610">
        <v>7</v>
      </c>
      <c r="O610">
        <v>5</v>
      </c>
      <c r="P610" t="s">
        <v>7</v>
      </c>
    </row>
    <row r="611" spans="1:16">
      <c r="A611" t="s">
        <v>1021</v>
      </c>
      <c r="B611" t="s">
        <v>965</v>
      </c>
      <c r="C611">
        <v>4.9000000000000002E-2</v>
      </c>
      <c r="D611" t="s">
        <v>758</v>
      </c>
      <c r="E611" t="s">
        <v>1032</v>
      </c>
      <c r="F611" t="s">
        <v>1035</v>
      </c>
      <c r="G611" t="s">
        <v>961</v>
      </c>
      <c r="H611">
        <v>1.794</v>
      </c>
      <c r="J611">
        <v>106510050</v>
      </c>
      <c r="K611" s="2">
        <v>44220</v>
      </c>
      <c r="L611">
        <v>1</v>
      </c>
      <c r="M611">
        <v>1</v>
      </c>
      <c r="N611">
        <v>0</v>
      </c>
      <c r="O611">
        <v>4</v>
      </c>
      <c r="P611" t="s">
        <v>7</v>
      </c>
    </row>
    <row r="612" spans="1:16">
      <c r="A612" t="s">
        <v>754</v>
      </c>
      <c r="B612" t="s">
        <v>968</v>
      </c>
      <c r="C612">
        <v>2E-3</v>
      </c>
      <c r="D612" t="s">
        <v>6</v>
      </c>
      <c r="E612" t="s">
        <v>962</v>
      </c>
      <c r="F612" t="s">
        <v>1024</v>
      </c>
      <c r="G612" t="s">
        <v>968</v>
      </c>
      <c r="H612">
        <v>7.7480000000000002</v>
      </c>
      <c r="J612">
        <v>106490019</v>
      </c>
      <c r="K612" s="2">
        <v>44236</v>
      </c>
      <c r="L612">
        <v>21</v>
      </c>
      <c r="M612">
        <v>1</v>
      </c>
      <c r="N612">
        <v>12</v>
      </c>
      <c r="O612">
        <v>1</v>
      </c>
      <c r="P612" t="s">
        <v>3</v>
      </c>
    </row>
    <row r="613" spans="1:16">
      <c r="A613" t="s">
        <v>1021</v>
      </c>
      <c r="B613" t="s">
        <v>966</v>
      </c>
      <c r="C613">
        <v>0.22</v>
      </c>
      <c r="D613" t="s">
        <v>756</v>
      </c>
      <c r="E613" t="s">
        <v>1028</v>
      </c>
      <c r="F613" t="s">
        <v>1102</v>
      </c>
      <c r="H613">
        <v>999.99900000000002</v>
      </c>
      <c r="J613">
        <v>106502446</v>
      </c>
      <c r="K613" s="2">
        <v>44196</v>
      </c>
      <c r="L613">
        <v>1</v>
      </c>
      <c r="M613">
        <v>2</v>
      </c>
      <c r="O613">
        <v>5</v>
      </c>
      <c r="P613" t="s">
        <v>7</v>
      </c>
    </row>
    <row r="614" spans="1:16">
      <c r="A614" t="s">
        <v>1021</v>
      </c>
      <c r="B614" t="s">
        <v>965</v>
      </c>
      <c r="C614">
        <v>0</v>
      </c>
      <c r="E614" t="s">
        <v>1023</v>
      </c>
      <c r="F614" t="s">
        <v>1020</v>
      </c>
      <c r="G614" t="s">
        <v>961</v>
      </c>
      <c r="H614">
        <v>0.66500000000000004</v>
      </c>
      <c r="J614">
        <v>106502453</v>
      </c>
      <c r="K614" s="2">
        <v>44196</v>
      </c>
      <c r="L614">
        <v>30</v>
      </c>
      <c r="M614">
        <v>2</v>
      </c>
      <c r="N614">
        <v>7</v>
      </c>
      <c r="O614">
        <v>1</v>
      </c>
      <c r="P614" t="s">
        <v>7</v>
      </c>
    </row>
    <row r="615" spans="1:16">
      <c r="A615" t="s">
        <v>1021</v>
      </c>
      <c r="B615" t="s">
        <v>965</v>
      </c>
      <c r="C615">
        <v>5.1999999999999998E-2</v>
      </c>
      <c r="D615" t="s">
        <v>758</v>
      </c>
      <c r="E615" t="s">
        <v>963</v>
      </c>
      <c r="F615" t="s">
        <v>1080</v>
      </c>
      <c r="G615" t="s">
        <v>961</v>
      </c>
      <c r="H615">
        <v>0.159</v>
      </c>
      <c r="J615">
        <v>106502440</v>
      </c>
      <c r="K615" s="2">
        <v>44195</v>
      </c>
      <c r="L615">
        <v>2</v>
      </c>
      <c r="M615">
        <v>2</v>
      </c>
      <c r="N615">
        <v>0</v>
      </c>
      <c r="O615">
        <v>4</v>
      </c>
      <c r="P615" t="s">
        <v>7</v>
      </c>
    </row>
    <row r="616" spans="1:16">
      <c r="A616" t="s">
        <v>1021</v>
      </c>
      <c r="B616" t="s">
        <v>965</v>
      </c>
      <c r="C616">
        <v>1.9E-2</v>
      </c>
      <c r="D616" t="s">
        <v>758</v>
      </c>
      <c r="E616" t="s">
        <v>979</v>
      </c>
      <c r="F616" t="s">
        <v>1052</v>
      </c>
      <c r="G616" t="s">
        <v>961</v>
      </c>
      <c r="H616">
        <v>1.577</v>
      </c>
      <c r="J616">
        <v>106502455</v>
      </c>
      <c r="K616" s="2">
        <v>44201</v>
      </c>
      <c r="L616">
        <v>32</v>
      </c>
      <c r="M616">
        <v>1</v>
      </c>
      <c r="O616">
        <v>1</v>
      </c>
      <c r="P616" t="s">
        <v>7</v>
      </c>
    </row>
    <row r="617" spans="1:16">
      <c r="A617" t="s">
        <v>1021</v>
      </c>
      <c r="B617" t="s">
        <v>965</v>
      </c>
      <c r="C617">
        <v>2.8000000000000001E-2</v>
      </c>
      <c r="D617" t="s">
        <v>756</v>
      </c>
      <c r="E617" t="s">
        <v>979</v>
      </c>
      <c r="F617" t="s">
        <v>1054</v>
      </c>
      <c r="G617" t="s">
        <v>961</v>
      </c>
      <c r="H617">
        <v>1.6240000000000001</v>
      </c>
      <c r="J617">
        <v>106521356</v>
      </c>
      <c r="K617" s="2">
        <v>44232</v>
      </c>
      <c r="L617">
        <v>30</v>
      </c>
      <c r="M617">
        <v>2</v>
      </c>
      <c r="O617">
        <v>2</v>
      </c>
      <c r="P617" t="s">
        <v>7</v>
      </c>
    </row>
    <row r="618" spans="1:16">
      <c r="A618" t="s">
        <v>1021</v>
      </c>
      <c r="B618" t="s">
        <v>965</v>
      </c>
      <c r="C618">
        <v>0</v>
      </c>
      <c r="E618" t="s">
        <v>968</v>
      </c>
      <c r="F618" t="s">
        <v>986</v>
      </c>
      <c r="G618" t="s">
        <v>962</v>
      </c>
      <c r="H618">
        <v>2.1920000000000002</v>
      </c>
      <c r="J618">
        <v>106530154</v>
      </c>
      <c r="K618" s="2">
        <v>44244</v>
      </c>
      <c r="L618">
        <v>21</v>
      </c>
      <c r="M618">
        <v>1</v>
      </c>
      <c r="O618">
        <v>1</v>
      </c>
      <c r="P618" t="s">
        <v>7</v>
      </c>
    </row>
    <row r="619" spans="1:16">
      <c r="A619" t="s">
        <v>1021</v>
      </c>
      <c r="B619" t="s">
        <v>968</v>
      </c>
      <c r="C619">
        <v>0</v>
      </c>
      <c r="E619" t="s">
        <v>965</v>
      </c>
      <c r="F619" t="s">
        <v>1037</v>
      </c>
      <c r="G619" t="s">
        <v>968</v>
      </c>
      <c r="H619">
        <v>7.75</v>
      </c>
      <c r="J619">
        <v>106502178</v>
      </c>
      <c r="K619" s="2">
        <v>44209</v>
      </c>
      <c r="L619">
        <v>21</v>
      </c>
      <c r="M619">
        <v>1</v>
      </c>
      <c r="N619">
        <v>7</v>
      </c>
      <c r="O619">
        <v>1</v>
      </c>
      <c r="P619" t="s">
        <v>7</v>
      </c>
    </row>
    <row r="620" spans="1:16">
      <c r="A620" t="s">
        <v>1021</v>
      </c>
      <c r="B620" t="s">
        <v>1062</v>
      </c>
      <c r="C620">
        <v>0</v>
      </c>
      <c r="E620" t="s">
        <v>965</v>
      </c>
      <c r="F620" t="s">
        <v>1127</v>
      </c>
      <c r="G620" t="s">
        <v>1091</v>
      </c>
      <c r="H620">
        <v>0.38800000000000001</v>
      </c>
      <c r="J620">
        <v>106502173</v>
      </c>
      <c r="K620" s="2">
        <v>44200</v>
      </c>
      <c r="L620">
        <v>30</v>
      </c>
      <c r="M620">
        <v>1</v>
      </c>
      <c r="N620">
        <v>9</v>
      </c>
      <c r="O620">
        <v>1</v>
      </c>
      <c r="P620" t="s">
        <v>3</v>
      </c>
    </row>
    <row r="621" spans="1:16">
      <c r="A621" t="s">
        <v>1021</v>
      </c>
      <c r="B621" t="s">
        <v>1057</v>
      </c>
      <c r="C621">
        <v>1.4999999999999999E-2</v>
      </c>
      <c r="D621" t="s">
        <v>756</v>
      </c>
      <c r="E621" t="s">
        <v>967</v>
      </c>
      <c r="F621" t="s">
        <v>1020</v>
      </c>
      <c r="H621">
        <v>999.99900000000002</v>
      </c>
      <c r="J621">
        <v>106578176</v>
      </c>
      <c r="K621" s="2">
        <v>44280</v>
      </c>
      <c r="L621">
        <v>19</v>
      </c>
      <c r="M621">
        <v>1</v>
      </c>
      <c r="N621">
        <v>4</v>
      </c>
      <c r="O621">
        <v>1</v>
      </c>
      <c r="P621" t="s">
        <v>7</v>
      </c>
    </row>
    <row r="622" spans="1:16">
      <c r="A622" t="s">
        <v>1021</v>
      </c>
      <c r="B622" t="s">
        <v>1128</v>
      </c>
      <c r="C622">
        <v>0</v>
      </c>
      <c r="E622" t="s">
        <v>967</v>
      </c>
      <c r="F622" t="s">
        <v>968</v>
      </c>
      <c r="G622" t="s">
        <v>967</v>
      </c>
      <c r="H622">
        <v>999.99900000000002</v>
      </c>
      <c r="J622">
        <v>106556313</v>
      </c>
      <c r="K622" s="2">
        <v>44269</v>
      </c>
      <c r="L622">
        <v>20</v>
      </c>
      <c r="M622">
        <v>1</v>
      </c>
      <c r="O622">
        <v>1</v>
      </c>
    </row>
    <row r="623" spans="1:16">
      <c r="A623" t="s">
        <v>1021</v>
      </c>
      <c r="B623" t="s">
        <v>968</v>
      </c>
      <c r="C623">
        <v>0</v>
      </c>
      <c r="E623" t="s">
        <v>965</v>
      </c>
      <c r="F623" t="s">
        <v>1129</v>
      </c>
      <c r="G623" t="s">
        <v>968</v>
      </c>
      <c r="H623">
        <v>7.75</v>
      </c>
      <c r="J623">
        <v>106556302</v>
      </c>
      <c r="K623" s="2">
        <v>44258</v>
      </c>
      <c r="L623">
        <v>30</v>
      </c>
      <c r="M623">
        <v>1</v>
      </c>
      <c r="O623">
        <v>1</v>
      </c>
      <c r="P623" t="s">
        <v>7</v>
      </c>
    </row>
    <row r="624" spans="1:16">
      <c r="A624" t="s">
        <v>1021</v>
      </c>
      <c r="B624" t="s">
        <v>965</v>
      </c>
      <c r="C624">
        <v>4.4999999999999998E-2</v>
      </c>
      <c r="D624" t="s">
        <v>756</v>
      </c>
      <c r="E624" t="s">
        <v>968</v>
      </c>
      <c r="F624" t="s">
        <v>963</v>
      </c>
      <c r="G624" t="s">
        <v>961</v>
      </c>
      <c r="H624">
        <v>4.4999999999999998E-2</v>
      </c>
      <c r="J624">
        <v>107985189</v>
      </c>
      <c r="K624" s="2">
        <v>45665</v>
      </c>
      <c r="L624">
        <v>28</v>
      </c>
      <c r="M624">
        <v>1</v>
      </c>
      <c r="N624">
        <v>0</v>
      </c>
      <c r="O624">
        <v>1</v>
      </c>
      <c r="P624" t="s">
        <v>7</v>
      </c>
    </row>
    <row r="625" spans="1:19">
      <c r="A625" t="s">
        <v>1021</v>
      </c>
      <c r="B625" t="s">
        <v>966</v>
      </c>
      <c r="C625">
        <v>0.31</v>
      </c>
      <c r="D625" t="s">
        <v>762</v>
      </c>
      <c r="E625" t="s">
        <v>1028</v>
      </c>
      <c r="F625" t="s">
        <v>1102</v>
      </c>
      <c r="H625">
        <v>999.99900000000002</v>
      </c>
      <c r="J625">
        <v>106578185</v>
      </c>
      <c r="K625" s="2">
        <v>44274</v>
      </c>
      <c r="L625">
        <v>21</v>
      </c>
      <c r="M625">
        <v>2</v>
      </c>
      <c r="N625">
        <v>7</v>
      </c>
      <c r="O625">
        <v>1</v>
      </c>
      <c r="P625" t="s">
        <v>7</v>
      </c>
    </row>
    <row r="626" spans="1:19">
      <c r="A626" t="s">
        <v>1021</v>
      </c>
      <c r="B626" t="s">
        <v>965</v>
      </c>
      <c r="C626">
        <v>7.0000000000000007E-2</v>
      </c>
      <c r="D626" t="s">
        <v>756</v>
      </c>
      <c r="E626" t="s">
        <v>1054</v>
      </c>
      <c r="F626" t="s">
        <v>1032</v>
      </c>
      <c r="G626" t="s">
        <v>961</v>
      </c>
      <c r="H626">
        <v>1.7929999999999999</v>
      </c>
      <c r="J626">
        <v>106586027</v>
      </c>
      <c r="K626" s="2">
        <v>44287</v>
      </c>
      <c r="L626">
        <v>23</v>
      </c>
      <c r="M626">
        <v>1</v>
      </c>
      <c r="O626">
        <v>1</v>
      </c>
      <c r="P626" t="s">
        <v>3</v>
      </c>
    </row>
    <row r="627" spans="1:19">
      <c r="A627" t="s">
        <v>1021</v>
      </c>
      <c r="B627" t="s">
        <v>965</v>
      </c>
      <c r="C627">
        <v>0</v>
      </c>
      <c r="E627" t="s">
        <v>1026</v>
      </c>
      <c r="G627" t="s">
        <v>1036</v>
      </c>
      <c r="H627">
        <v>0.64300000000000002</v>
      </c>
      <c r="J627">
        <v>106586028</v>
      </c>
      <c r="K627" s="2">
        <v>44288</v>
      </c>
      <c r="L627">
        <v>1</v>
      </c>
      <c r="M627">
        <v>1</v>
      </c>
      <c r="O627">
        <v>4</v>
      </c>
    </row>
    <row r="628" spans="1:19">
      <c r="A628" t="s">
        <v>1021</v>
      </c>
      <c r="B628" t="s">
        <v>979</v>
      </c>
      <c r="C628">
        <v>8.9999999999999993E-3</v>
      </c>
      <c r="D628" t="s">
        <v>757</v>
      </c>
      <c r="E628" t="s">
        <v>965</v>
      </c>
      <c r="F628" t="s">
        <v>1071</v>
      </c>
      <c r="G628" t="s">
        <v>979</v>
      </c>
      <c r="H628">
        <v>9.6720000000000006</v>
      </c>
      <c r="J628">
        <v>106586147</v>
      </c>
      <c r="K628" s="2">
        <v>44295</v>
      </c>
      <c r="L628">
        <v>21</v>
      </c>
      <c r="M628">
        <v>2</v>
      </c>
      <c r="N628">
        <v>20</v>
      </c>
      <c r="O628">
        <v>1</v>
      </c>
      <c r="P628" t="s">
        <v>7</v>
      </c>
    </row>
    <row r="629" spans="1:19">
      <c r="A629" t="s">
        <v>1021</v>
      </c>
      <c r="B629" t="s">
        <v>965</v>
      </c>
      <c r="C629">
        <v>0</v>
      </c>
      <c r="E629" t="s">
        <v>1022</v>
      </c>
      <c r="F629" t="s">
        <v>968</v>
      </c>
      <c r="G629" t="s">
        <v>961</v>
      </c>
      <c r="H629">
        <v>0.21099999999999999</v>
      </c>
      <c r="J629">
        <v>106578511</v>
      </c>
      <c r="K629" s="2">
        <v>44277</v>
      </c>
      <c r="L629">
        <v>23</v>
      </c>
      <c r="M629">
        <v>1</v>
      </c>
      <c r="N629">
        <v>4</v>
      </c>
      <c r="O629">
        <v>1</v>
      </c>
      <c r="P629" t="s">
        <v>3</v>
      </c>
    </row>
    <row r="630" spans="1:19">
      <c r="A630" t="s">
        <v>754</v>
      </c>
      <c r="B630" t="s">
        <v>962</v>
      </c>
      <c r="C630">
        <v>0.3</v>
      </c>
      <c r="D630" t="s">
        <v>758</v>
      </c>
      <c r="E630" t="s">
        <v>968</v>
      </c>
      <c r="F630" t="s">
        <v>973</v>
      </c>
      <c r="G630" t="s">
        <v>962</v>
      </c>
      <c r="H630">
        <v>1.8919999999999999</v>
      </c>
      <c r="J630">
        <v>106638733</v>
      </c>
      <c r="K630" s="2">
        <v>44391</v>
      </c>
      <c r="L630">
        <v>21</v>
      </c>
      <c r="M630">
        <v>1</v>
      </c>
      <c r="N630">
        <v>12</v>
      </c>
      <c r="O630">
        <v>1</v>
      </c>
      <c r="P630" t="s">
        <v>3</v>
      </c>
    </row>
    <row r="631" spans="1:19">
      <c r="A631" t="s">
        <v>1021</v>
      </c>
      <c r="B631" t="s">
        <v>1130</v>
      </c>
      <c r="C631">
        <v>0</v>
      </c>
      <c r="D631" t="s">
        <v>763</v>
      </c>
      <c r="E631" t="s">
        <v>965</v>
      </c>
      <c r="F631" t="s">
        <v>1023</v>
      </c>
      <c r="H631">
        <v>999.99900000000002</v>
      </c>
      <c r="J631">
        <v>105577941</v>
      </c>
      <c r="K631" s="2">
        <v>43324</v>
      </c>
      <c r="L631">
        <v>31</v>
      </c>
      <c r="M631">
        <v>1</v>
      </c>
      <c r="N631">
        <v>0</v>
      </c>
      <c r="O631">
        <v>1</v>
      </c>
      <c r="P631" t="s">
        <v>7</v>
      </c>
    </row>
    <row r="632" spans="1:19">
      <c r="A632" t="s">
        <v>1021</v>
      </c>
      <c r="B632" t="s">
        <v>965</v>
      </c>
      <c r="C632">
        <v>4.5999999999999999E-2</v>
      </c>
      <c r="D632" t="s">
        <v>758</v>
      </c>
      <c r="E632" t="s">
        <v>1032</v>
      </c>
      <c r="F632" t="s">
        <v>1054</v>
      </c>
      <c r="G632" t="s">
        <v>961</v>
      </c>
      <c r="H632">
        <v>1.7969999999999999</v>
      </c>
      <c r="J632">
        <v>106372330</v>
      </c>
      <c r="K632" s="2">
        <v>44092</v>
      </c>
      <c r="L632">
        <v>14</v>
      </c>
      <c r="M632">
        <v>1</v>
      </c>
      <c r="O632">
        <v>1</v>
      </c>
      <c r="P632" t="s">
        <v>8</v>
      </c>
      <c r="Q632">
        <v>35.169079000000004</v>
      </c>
      <c r="R632">
        <v>-79.403542000000002</v>
      </c>
      <c r="S632" t="s">
        <v>786</v>
      </c>
    </row>
    <row r="633" spans="1:19">
      <c r="A633" t="s">
        <v>1021</v>
      </c>
      <c r="B633" t="s">
        <v>965</v>
      </c>
      <c r="C633">
        <v>4.9000000000000002E-2</v>
      </c>
      <c r="D633" t="s">
        <v>756</v>
      </c>
      <c r="E633" t="s">
        <v>965</v>
      </c>
      <c r="F633" t="s">
        <v>1097</v>
      </c>
      <c r="G633" t="s">
        <v>965</v>
      </c>
      <c r="H633">
        <v>999.99900000000002</v>
      </c>
      <c r="J633">
        <v>105631297</v>
      </c>
      <c r="K633" s="2">
        <v>43355</v>
      </c>
      <c r="L633">
        <v>23</v>
      </c>
      <c r="M633">
        <v>1</v>
      </c>
      <c r="N633">
        <v>0</v>
      </c>
      <c r="O633">
        <v>1</v>
      </c>
      <c r="P633" t="s">
        <v>7</v>
      </c>
    </row>
    <row r="634" spans="1:19">
      <c r="A634" t="s">
        <v>1021</v>
      </c>
      <c r="B634" t="s">
        <v>1032</v>
      </c>
      <c r="C634">
        <v>5.0000000000000001E-3</v>
      </c>
      <c r="D634" t="s">
        <v>6</v>
      </c>
      <c r="E634" t="s">
        <v>965</v>
      </c>
      <c r="F634" t="s">
        <v>979</v>
      </c>
      <c r="G634" t="s">
        <v>1032</v>
      </c>
      <c r="H634">
        <v>0.115</v>
      </c>
      <c r="J634">
        <v>106231667</v>
      </c>
      <c r="K634" s="2">
        <v>43905</v>
      </c>
      <c r="L634">
        <v>2</v>
      </c>
      <c r="M634">
        <v>2</v>
      </c>
      <c r="N634">
        <v>7</v>
      </c>
      <c r="O634">
        <v>5</v>
      </c>
      <c r="P634" t="s">
        <v>7</v>
      </c>
    </row>
    <row r="635" spans="1:19">
      <c r="A635" t="s">
        <v>1021</v>
      </c>
      <c r="B635" t="s">
        <v>967</v>
      </c>
      <c r="C635">
        <v>1.4E-2</v>
      </c>
      <c r="D635" t="s">
        <v>757</v>
      </c>
      <c r="E635" t="s">
        <v>965</v>
      </c>
      <c r="F635" t="s">
        <v>966</v>
      </c>
      <c r="G635" t="s">
        <v>960</v>
      </c>
      <c r="H635">
        <v>1.4750000000000001</v>
      </c>
      <c r="J635">
        <v>105233216</v>
      </c>
      <c r="K635" s="2">
        <v>42985</v>
      </c>
      <c r="L635">
        <v>26</v>
      </c>
      <c r="M635">
        <v>1</v>
      </c>
      <c r="N635">
        <v>7</v>
      </c>
      <c r="O635">
        <v>1</v>
      </c>
      <c r="P635" t="s">
        <v>7</v>
      </c>
    </row>
    <row r="636" spans="1:19">
      <c r="A636" t="s">
        <v>1021</v>
      </c>
      <c r="B636" t="s">
        <v>968</v>
      </c>
      <c r="C636">
        <v>0</v>
      </c>
      <c r="E636" t="s">
        <v>963</v>
      </c>
      <c r="F636" t="s">
        <v>961</v>
      </c>
      <c r="G636" t="s">
        <v>968</v>
      </c>
      <c r="H636">
        <v>7.5890000000000004</v>
      </c>
      <c r="J636">
        <v>106744898</v>
      </c>
      <c r="K636" s="2">
        <v>44493</v>
      </c>
      <c r="L636">
        <v>24</v>
      </c>
      <c r="M636">
        <v>1</v>
      </c>
      <c r="N636">
        <v>8</v>
      </c>
      <c r="O636">
        <v>2</v>
      </c>
      <c r="P636" t="s">
        <v>7</v>
      </c>
    </row>
    <row r="637" spans="1:19">
      <c r="A637" t="s">
        <v>1021</v>
      </c>
      <c r="B637" t="s">
        <v>965</v>
      </c>
      <c r="C637">
        <v>0</v>
      </c>
      <c r="E637" t="s">
        <v>1052</v>
      </c>
      <c r="F637" t="s">
        <v>1056</v>
      </c>
      <c r="G637" t="s">
        <v>961</v>
      </c>
      <c r="H637">
        <v>1.431</v>
      </c>
      <c r="J637">
        <v>107321780</v>
      </c>
      <c r="K637" s="2">
        <v>45048</v>
      </c>
      <c r="L637">
        <v>30</v>
      </c>
      <c r="M637">
        <v>1</v>
      </c>
      <c r="N637">
        <v>8</v>
      </c>
      <c r="O637">
        <v>1</v>
      </c>
      <c r="P637" t="s">
        <v>7</v>
      </c>
    </row>
    <row r="638" spans="1:19">
      <c r="A638" t="s">
        <v>754</v>
      </c>
      <c r="B638" t="s">
        <v>962</v>
      </c>
      <c r="C638">
        <v>2E-3</v>
      </c>
      <c r="D638" t="s">
        <v>758</v>
      </c>
      <c r="E638" t="s">
        <v>968</v>
      </c>
      <c r="F638" t="s">
        <v>973</v>
      </c>
      <c r="G638" t="s">
        <v>962</v>
      </c>
      <c r="H638">
        <v>2.19</v>
      </c>
      <c r="J638">
        <v>106678935</v>
      </c>
      <c r="K638" s="2">
        <v>44432</v>
      </c>
      <c r="L638">
        <v>21</v>
      </c>
      <c r="M638">
        <v>1</v>
      </c>
      <c r="N638">
        <v>12</v>
      </c>
      <c r="O638">
        <v>1</v>
      </c>
      <c r="P638" t="s">
        <v>3</v>
      </c>
    </row>
    <row r="639" spans="1:19">
      <c r="A639" t="s">
        <v>1021</v>
      </c>
      <c r="B639" t="s">
        <v>965</v>
      </c>
      <c r="C639">
        <v>3.7999999999999999E-2</v>
      </c>
      <c r="D639" t="s">
        <v>758</v>
      </c>
      <c r="E639" t="s">
        <v>1032</v>
      </c>
      <c r="F639" t="s">
        <v>1054</v>
      </c>
      <c r="G639" t="s">
        <v>961</v>
      </c>
      <c r="H639">
        <v>1.8049999999999999</v>
      </c>
      <c r="J639">
        <v>106944683</v>
      </c>
      <c r="K639" s="2">
        <v>44686</v>
      </c>
      <c r="L639">
        <v>30</v>
      </c>
      <c r="M639">
        <v>1</v>
      </c>
      <c r="N639">
        <v>8</v>
      </c>
      <c r="O639">
        <v>1</v>
      </c>
      <c r="P639" t="s">
        <v>7</v>
      </c>
    </row>
    <row r="640" spans="1:19">
      <c r="A640" t="s">
        <v>1021</v>
      </c>
      <c r="B640" t="s">
        <v>966</v>
      </c>
      <c r="C640">
        <v>1.9E-2</v>
      </c>
      <c r="D640" t="s">
        <v>6</v>
      </c>
      <c r="E640" t="s">
        <v>1131</v>
      </c>
      <c r="F640" t="s">
        <v>1132</v>
      </c>
      <c r="H640">
        <v>999.99900000000002</v>
      </c>
      <c r="J640">
        <v>108504711</v>
      </c>
      <c r="K640" s="2">
        <v>46162</v>
      </c>
      <c r="L640">
        <v>17</v>
      </c>
      <c r="M640">
        <v>1</v>
      </c>
      <c r="N640">
        <v>0</v>
      </c>
      <c r="O640">
        <v>5</v>
      </c>
      <c r="P640" t="s">
        <v>7</v>
      </c>
    </row>
    <row r="641" spans="1:16">
      <c r="A641" t="s">
        <v>1021</v>
      </c>
      <c r="B641" t="s">
        <v>962</v>
      </c>
      <c r="C641">
        <v>0</v>
      </c>
      <c r="E641" t="s">
        <v>968</v>
      </c>
      <c r="F641" t="s">
        <v>960</v>
      </c>
      <c r="G641" t="s">
        <v>962</v>
      </c>
      <c r="H641">
        <v>2.1920000000000002</v>
      </c>
      <c r="J641">
        <v>106763653</v>
      </c>
      <c r="K641" s="2">
        <v>44504</v>
      </c>
      <c r="L641">
        <v>21</v>
      </c>
      <c r="M641">
        <v>2</v>
      </c>
      <c r="N641">
        <v>7</v>
      </c>
      <c r="O641">
        <v>1</v>
      </c>
      <c r="P641" t="s">
        <v>7</v>
      </c>
    </row>
    <row r="642" spans="1:16">
      <c r="A642" t="s">
        <v>1021</v>
      </c>
      <c r="B642" t="s">
        <v>965</v>
      </c>
      <c r="C642">
        <v>0</v>
      </c>
      <c r="E642" t="s">
        <v>1023</v>
      </c>
      <c r="F642" t="s">
        <v>1042</v>
      </c>
      <c r="G642" t="s">
        <v>961</v>
      </c>
      <c r="H642">
        <v>0.66500000000000004</v>
      </c>
      <c r="J642">
        <v>107116744</v>
      </c>
      <c r="K642" s="2">
        <v>44852</v>
      </c>
      <c r="L642">
        <v>30</v>
      </c>
      <c r="M642">
        <v>1</v>
      </c>
      <c r="N642">
        <v>7</v>
      </c>
      <c r="O642">
        <v>1</v>
      </c>
      <c r="P642" t="s">
        <v>7</v>
      </c>
    </row>
    <row r="643" spans="1:16">
      <c r="A643" t="s">
        <v>1021</v>
      </c>
      <c r="B643" t="s">
        <v>962</v>
      </c>
      <c r="C643">
        <v>0.25</v>
      </c>
      <c r="D643" t="s">
        <v>758</v>
      </c>
      <c r="E643" t="s">
        <v>960</v>
      </c>
      <c r="F643" t="s">
        <v>968</v>
      </c>
      <c r="G643" t="s">
        <v>962</v>
      </c>
      <c r="H643">
        <v>999.99900000000002</v>
      </c>
      <c r="J643">
        <v>106778678</v>
      </c>
      <c r="K643" s="2">
        <v>44519</v>
      </c>
      <c r="L643">
        <v>28</v>
      </c>
      <c r="M643">
        <v>1</v>
      </c>
      <c r="N643">
        <v>0</v>
      </c>
      <c r="O643">
        <v>4</v>
      </c>
      <c r="P643" t="s">
        <v>7</v>
      </c>
    </row>
    <row r="644" spans="1:16">
      <c r="A644" t="s">
        <v>1021</v>
      </c>
      <c r="B644" t="s">
        <v>1026</v>
      </c>
      <c r="C644">
        <v>0</v>
      </c>
      <c r="D644" t="s">
        <v>756</v>
      </c>
      <c r="E644" t="s">
        <v>965</v>
      </c>
      <c r="F644" t="s">
        <v>1133</v>
      </c>
      <c r="G644" t="s">
        <v>1036</v>
      </c>
      <c r="H644">
        <v>0.64300000000000002</v>
      </c>
      <c r="J644">
        <v>108025715</v>
      </c>
      <c r="K644" s="2">
        <v>45707</v>
      </c>
      <c r="L644">
        <v>19</v>
      </c>
      <c r="M644">
        <v>4</v>
      </c>
      <c r="N644">
        <v>0</v>
      </c>
      <c r="O644">
        <v>1</v>
      </c>
      <c r="P644" t="s">
        <v>7</v>
      </c>
    </row>
    <row r="645" spans="1:16">
      <c r="A645" t="s">
        <v>1021</v>
      </c>
      <c r="B645" t="s">
        <v>961</v>
      </c>
      <c r="C645">
        <v>2E-3</v>
      </c>
      <c r="D645" t="s">
        <v>758</v>
      </c>
      <c r="E645" t="s">
        <v>968</v>
      </c>
      <c r="F645" t="s">
        <v>973</v>
      </c>
      <c r="G645" t="s">
        <v>961</v>
      </c>
      <c r="H645">
        <v>0</v>
      </c>
      <c r="J645">
        <v>106710804</v>
      </c>
      <c r="K645" s="2">
        <v>44460</v>
      </c>
      <c r="L645">
        <v>21</v>
      </c>
      <c r="M645">
        <v>2</v>
      </c>
      <c r="N645">
        <v>7</v>
      </c>
      <c r="O645">
        <v>1</v>
      </c>
      <c r="P645" t="s">
        <v>7</v>
      </c>
    </row>
    <row r="646" spans="1:16">
      <c r="A646" t="s">
        <v>1021</v>
      </c>
      <c r="B646" t="s">
        <v>968</v>
      </c>
      <c r="C646">
        <v>1.2E-2</v>
      </c>
      <c r="D646" t="s">
        <v>6</v>
      </c>
      <c r="E646" t="s">
        <v>964</v>
      </c>
      <c r="F646" t="s">
        <v>1072</v>
      </c>
      <c r="G646" t="s">
        <v>968</v>
      </c>
      <c r="H646">
        <v>8.109</v>
      </c>
      <c r="J646">
        <v>108043216</v>
      </c>
      <c r="K646" s="2">
        <v>45725</v>
      </c>
      <c r="L646">
        <v>28</v>
      </c>
      <c r="M646">
        <v>1</v>
      </c>
      <c r="N646">
        <v>0</v>
      </c>
      <c r="O646">
        <v>4</v>
      </c>
      <c r="P646" t="s">
        <v>7</v>
      </c>
    </row>
    <row r="647" spans="1:16">
      <c r="A647" t="s">
        <v>1021</v>
      </c>
      <c r="B647" t="s">
        <v>965</v>
      </c>
      <c r="C647">
        <v>5.7000000000000002E-2</v>
      </c>
      <c r="D647" t="s">
        <v>756</v>
      </c>
      <c r="E647" t="s">
        <v>968</v>
      </c>
      <c r="G647" t="s">
        <v>961</v>
      </c>
      <c r="H647">
        <v>5.7000000000000002E-2</v>
      </c>
      <c r="J647">
        <v>106802363</v>
      </c>
      <c r="K647" s="2">
        <v>44508</v>
      </c>
      <c r="L647">
        <v>30</v>
      </c>
      <c r="M647">
        <v>1</v>
      </c>
      <c r="N647">
        <v>8</v>
      </c>
      <c r="O647">
        <v>1</v>
      </c>
      <c r="P647" t="s">
        <v>7</v>
      </c>
    </row>
    <row r="648" spans="1:16">
      <c r="A648" t="s">
        <v>1021</v>
      </c>
      <c r="B648" t="s">
        <v>1022</v>
      </c>
      <c r="C648">
        <v>0</v>
      </c>
      <c r="D648" t="s">
        <v>6</v>
      </c>
      <c r="E648" t="s">
        <v>965</v>
      </c>
      <c r="G648" t="s">
        <v>961</v>
      </c>
      <c r="H648">
        <v>0.21099999999999999</v>
      </c>
      <c r="J648">
        <v>106802406</v>
      </c>
      <c r="K648" s="2">
        <v>44523</v>
      </c>
      <c r="L648">
        <v>21</v>
      </c>
      <c r="M648">
        <v>1</v>
      </c>
      <c r="N648">
        <v>0</v>
      </c>
      <c r="O648">
        <v>1</v>
      </c>
      <c r="P648" t="s">
        <v>7</v>
      </c>
    </row>
    <row r="649" spans="1:16">
      <c r="A649" t="s">
        <v>1021</v>
      </c>
      <c r="B649" t="s">
        <v>965</v>
      </c>
      <c r="C649">
        <v>0</v>
      </c>
      <c r="E649" t="s">
        <v>1023</v>
      </c>
      <c r="F649" t="s">
        <v>1056</v>
      </c>
      <c r="G649" t="s">
        <v>961</v>
      </c>
      <c r="H649">
        <v>0.66500000000000004</v>
      </c>
      <c r="J649">
        <v>106802231</v>
      </c>
      <c r="K649" s="2">
        <v>44451</v>
      </c>
      <c r="L649">
        <v>21</v>
      </c>
      <c r="M649">
        <v>1</v>
      </c>
      <c r="N649">
        <v>7</v>
      </c>
      <c r="O649">
        <v>1</v>
      </c>
      <c r="P649" t="s">
        <v>7</v>
      </c>
    </row>
    <row r="650" spans="1:16">
      <c r="A650" t="s">
        <v>1021</v>
      </c>
      <c r="B650" t="s">
        <v>965</v>
      </c>
      <c r="C650">
        <v>7.5999999999999998E-2</v>
      </c>
      <c r="D650" t="s">
        <v>756</v>
      </c>
      <c r="E650" t="s">
        <v>1023</v>
      </c>
      <c r="F650" t="s">
        <v>1039</v>
      </c>
      <c r="G650" t="s">
        <v>961</v>
      </c>
      <c r="H650">
        <v>0.74099999999999999</v>
      </c>
      <c r="J650">
        <v>106802280</v>
      </c>
      <c r="K650" s="2">
        <v>44478</v>
      </c>
      <c r="L650">
        <v>28</v>
      </c>
      <c r="M650">
        <v>1</v>
      </c>
      <c r="N650">
        <v>0</v>
      </c>
      <c r="O650">
        <v>1</v>
      </c>
      <c r="P650" t="s">
        <v>7</v>
      </c>
    </row>
    <row r="651" spans="1:16">
      <c r="A651" t="s">
        <v>1021</v>
      </c>
      <c r="B651" t="s">
        <v>965</v>
      </c>
      <c r="C651">
        <v>0</v>
      </c>
      <c r="E651" t="s">
        <v>1022</v>
      </c>
      <c r="F651" t="s">
        <v>968</v>
      </c>
      <c r="G651" t="s">
        <v>961</v>
      </c>
      <c r="H651">
        <v>0.21099999999999999</v>
      </c>
      <c r="J651">
        <v>106802282</v>
      </c>
      <c r="K651" s="2">
        <v>44479</v>
      </c>
      <c r="L651">
        <v>30</v>
      </c>
      <c r="M651">
        <v>1</v>
      </c>
      <c r="N651">
        <v>0</v>
      </c>
      <c r="O651">
        <v>1</v>
      </c>
      <c r="P651" t="s">
        <v>7</v>
      </c>
    </row>
    <row r="652" spans="1:16">
      <c r="A652" t="s">
        <v>1021</v>
      </c>
      <c r="B652" t="s">
        <v>965</v>
      </c>
      <c r="C652">
        <v>0</v>
      </c>
      <c r="D652" t="s">
        <v>758</v>
      </c>
      <c r="E652" t="s">
        <v>967</v>
      </c>
      <c r="F652" t="s">
        <v>968</v>
      </c>
      <c r="G652" t="s">
        <v>961</v>
      </c>
      <c r="H652">
        <v>0.21099999999999999</v>
      </c>
      <c r="J652">
        <v>106802462</v>
      </c>
      <c r="K652" s="2">
        <v>44544</v>
      </c>
      <c r="L652">
        <v>23</v>
      </c>
      <c r="M652">
        <v>1</v>
      </c>
      <c r="N652">
        <v>4</v>
      </c>
      <c r="O652">
        <v>1</v>
      </c>
      <c r="P652" t="s">
        <v>7</v>
      </c>
    </row>
    <row r="653" spans="1:16">
      <c r="A653" t="s">
        <v>1021</v>
      </c>
      <c r="B653" t="s">
        <v>965</v>
      </c>
      <c r="C653">
        <v>3.7999999999999999E-2</v>
      </c>
      <c r="D653" t="s">
        <v>758</v>
      </c>
      <c r="E653" t="s">
        <v>1032</v>
      </c>
      <c r="F653" t="s">
        <v>979</v>
      </c>
      <c r="G653" t="s">
        <v>961</v>
      </c>
      <c r="H653">
        <v>1.8049999999999999</v>
      </c>
      <c r="J653">
        <v>106802346</v>
      </c>
      <c r="K653" s="2">
        <v>44503</v>
      </c>
      <c r="L653">
        <v>21</v>
      </c>
      <c r="M653">
        <v>1</v>
      </c>
      <c r="N653">
        <v>0</v>
      </c>
      <c r="O653">
        <v>1</v>
      </c>
      <c r="P653" t="s">
        <v>7</v>
      </c>
    </row>
    <row r="654" spans="1:16">
      <c r="A654" t="s">
        <v>1021</v>
      </c>
      <c r="B654" t="s">
        <v>965</v>
      </c>
      <c r="C654">
        <v>0.45</v>
      </c>
      <c r="D654" t="s">
        <v>758</v>
      </c>
      <c r="E654" t="s">
        <v>967</v>
      </c>
      <c r="F654" t="s">
        <v>968</v>
      </c>
      <c r="G654" t="s">
        <v>962</v>
      </c>
      <c r="H654">
        <v>1.9530000000000001</v>
      </c>
      <c r="J654">
        <v>106802351</v>
      </c>
      <c r="K654" s="2">
        <v>44504</v>
      </c>
      <c r="L654">
        <v>24</v>
      </c>
      <c r="M654">
        <v>2</v>
      </c>
      <c r="N654">
        <v>8</v>
      </c>
      <c r="O654">
        <v>1</v>
      </c>
      <c r="P654" t="s">
        <v>7</v>
      </c>
    </row>
    <row r="655" spans="1:16">
      <c r="A655" t="s">
        <v>1021</v>
      </c>
      <c r="B655" t="s">
        <v>965</v>
      </c>
      <c r="C655">
        <v>0</v>
      </c>
      <c r="E655" t="s">
        <v>1052</v>
      </c>
      <c r="F655" t="s">
        <v>1064</v>
      </c>
      <c r="G655" t="s">
        <v>961</v>
      </c>
      <c r="H655">
        <v>1.431</v>
      </c>
      <c r="J655">
        <v>106802412</v>
      </c>
      <c r="K655" s="2">
        <v>44524</v>
      </c>
      <c r="L655">
        <v>17</v>
      </c>
      <c r="M655">
        <v>1</v>
      </c>
      <c r="N655">
        <v>0</v>
      </c>
      <c r="O655">
        <v>4</v>
      </c>
      <c r="P655" t="s">
        <v>7</v>
      </c>
    </row>
    <row r="656" spans="1:16">
      <c r="A656" t="s">
        <v>1021</v>
      </c>
      <c r="B656" t="s">
        <v>1080</v>
      </c>
      <c r="C656">
        <v>0</v>
      </c>
      <c r="D656" t="s">
        <v>757</v>
      </c>
      <c r="E656" t="s">
        <v>965</v>
      </c>
      <c r="F656" t="s">
        <v>964</v>
      </c>
      <c r="G656" t="s">
        <v>968</v>
      </c>
      <c r="H656">
        <v>7.75</v>
      </c>
      <c r="J656">
        <v>106802459</v>
      </c>
      <c r="K656" s="2">
        <v>44540</v>
      </c>
      <c r="L656">
        <v>28</v>
      </c>
      <c r="M656">
        <v>1</v>
      </c>
      <c r="N656">
        <v>7</v>
      </c>
      <c r="O656">
        <v>5</v>
      </c>
      <c r="P656" t="s">
        <v>7</v>
      </c>
    </row>
    <row r="657" spans="1:16">
      <c r="A657" t="s">
        <v>1021</v>
      </c>
      <c r="B657" t="s">
        <v>968</v>
      </c>
      <c r="C657">
        <v>0</v>
      </c>
      <c r="E657" t="s">
        <v>964</v>
      </c>
      <c r="F657" t="s">
        <v>1134</v>
      </c>
      <c r="G657" t="s">
        <v>968</v>
      </c>
      <c r="H657">
        <v>8.1210000000000004</v>
      </c>
      <c r="J657">
        <v>106801984</v>
      </c>
      <c r="K657" s="2">
        <v>44323</v>
      </c>
      <c r="L657">
        <v>21</v>
      </c>
      <c r="M657">
        <v>2</v>
      </c>
      <c r="N657">
        <v>7</v>
      </c>
      <c r="O657">
        <v>1</v>
      </c>
      <c r="P657" t="s">
        <v>3</v>
      </c>
    </row>
    <row r="658" spans="1:16">
      <c r="A658" t="s">
        <v>1021</v>
      </c>
      <c r="B658" t="s">
        <v>965</v>
      </c>
      <c r="C658">
        <v>0</v>
      </c>
      <c r="D658" t="s">
        <v>6</v>
      </c>
      <c r="E658" t="s">
        <v>967</v>
      </c>
      <c r="F658" t="s">
        <v>968</v>
      </c>
      <c r="G658" t="s">
        <v>961</v>
      </c>
      <c r="H658">
        <v>0.21099999999999999</v>
      </c>
      <c r="J658">
        <v>106802009</v>
      </c>
      <c r="K658" s="2">
        <v>44334</v>
      </c>
      <c r="L658">
        <v>23</v>
      </c>
      <c r="M658">
        <v>1</v>
      </c>
      <c r="N658">
        <v>7</v>
      </c>
      <c r="O658">
        <v>1</v>
      </c>
      <c r="P658" t="s">
        <v>7</v>
      </c>
    </row>
    <row r="659" spans="1:16">
      <c r="A659" t="s">
        <v>1021</v>
      </c>
      <c r="B659" t="s">
        <v>965</v>
      </c>
      <c r="C659">
        <v>0</v>
      </c>
      <c r="E659" t="s">
        <v>1062</v>
      </c>
      <c r="F659" t="s">
        <v>1061</v>
      </c>
      <c r="G659" t="s">
        <v>1063</v>
      </c>
      <c r="H659">
        <v>0.53900000000000003</v>
      </c>
      <c r="J659">
        <v>106847025</v>
      </c>
      <c r="K659" s="2">
        <v>44592</v>
      </c>
      <c r="L659">
        <v>21</v>
      </c>
      <c r="M659">
        <v>1</v>
      </c>
      <c r="N659">
        <v>8</v>
      </c>
      <c r="O659">
        <v>1</v>
      </c>
      <c r="P659" t="s">
        <v>7</v>
      </c>
    </row>
    <row r="660" spans="1:16">
      <c r="A660" t="s">
        <v>1021</v>
      </c>
      <c r="B660" t="s">
        <v>965</v>
      </c>
      <c r="C660">
        <v>0</v>
      </c>
      <c r="E660" t="s">
        <v>979</v>
      </c>
      <c r="F660" t="s">
        <v>1032</v>
      </c>
      <c r="G660" t="s">
        <v>961</v>
      </c>
      <c r="H660">
        <v>1.5960000000000001</v>
      </c>
      <c r="J660">
        <v>106802179</v>
      </c>
      <c r="K660" s="2">
        <v>44413</v>
      </c>
      <c r="L660">
        <v>21</v>
      </c>
      <c r="M660">
        <v>1</v>
      </c>
      <c r="N660">
        <v>2</v>
      </c>
      <c r="O660">
        <v>1</v>
      </c>
      <c r="P660" t="s">
        <v>7</v>
      </c>
    </row>
    <row r="661" spans="1:16">
      <c r="A661" t="s">
        <v>1021</v>
      </c>
      <c r="B661" t="s">
        <v>965</v>
      </c>
      <c r="C661">
        <v>0</v>
      </c>
      <c r="E661" t="s">
        <v>1052</v>
      </c>
      <c r="F661" t="s">
        <v>979</v>
      </c>
      <c r="G661" t="s">
        <v>961</v>
      </c>
      <c r="H661">
        <v>1.431</v>
      </c>
      <c r="J661">
        <v>106802234</v>
      </c>
      <c r="K661" s="2">
        <v>44453</v>
      </c>
      <c r="L661">
        <v>21</v>
      </c>
      <c r="M661">
        <v>1</v>
      </c>
      <c r="N661">
        <v>8</v>
      </c>
      <c r="O661">
        <v>1</v>
      </c>
      <c r="P661" t="s">
        <v>7</v>
      </c>
    </row>
    <row r="662" spans="1:16">
      <c r="A662" t="s">
        <v>1021</v>
      </c>
      <c r="B662" t="s">
        <v>964</v>
      </c>
      <c r="C662">
        <v>0.48499999999999999</v>
      </c>
      <c r="D662" t="s">
        <v>758</v>
      </c>
      <c r="E662" t="s">
        <v>966</v>
      </c>
      <c r="F662" t="s">
        <v>968</v>
      </c>
      <c r="G662" t="s">
        <v>960</v>
      </c>
      <c r="H662">
        <v>0.24199999999999999</v>
      </c>
      <c r="J662">
        <v>106802248</v>
      </c>
      <c r="K662" s="2">
        <v>44461</v>
      </c>
      <c r="L662">
        <v>21</v>
      </c>
      <c r="M662">
        <v>2</v>
      </c>
      <c r="N662">
        <v>0</v>
      </c>
      <c r="O662">
        <v>1</v>
      </c>
      <c r="P662" t="s">
        <v>7</v>
      </c>
    </row>
    <row r="663" spans="1:16">
      <c r="A663" t="s">
        <v>1021</v>
      </c>
      <c r="B663" t="s">
        <v>965</v>
      </c>
      <c r="C663">
        <v>0</v>
      </c>
      <c r="E663" t="s">
        <v>968</v>
      </c>
      <c r="F663" t="s">
        <v>986</v>
      </c>
      <c r="G663" t="s">
        <v>962</v>
      </c>
      <c r="H663">
        <v>2.1920000000000002</v>
      </c>
      <c r="J663">
        <v>106802263</v>
      </c>
      <c r="K663" s="2">
        <v>44468</v>
      </c>
      <c r="L663">
        <v>21</v>
      </c>
      <c r="M663">
        <v>1</v>
      </c>
      <c r="N663">
        <v>7</v>
      </c>
      <c r="O663">
        <v>1</v>
      </c>
      <c r="P663" t="s">
        <v>7</v>
      </c>
    </row>
    <row r="664" spans="1:16">
      <c r="A664" t="s">
        <v>1021</v>
      </c>
      <c r="B664" t="s">
        <v>965</v>
      </c>
      <c r="C664">
        <v>0.3</v>
      </c>
      <c r="D664" t="s">
        <v>756</v>
      </c>
      <c r="E664" t="s">
        <v>1020</v>
      </c>
      <c r="F664" t="s">
        <v>1023</v>
      </c>
      <c r="G664" t="s">
        <v>961</v>
      </c>
      <c r="H664">
        <v>0.64</v>
      </c>
      <c r="J664">
        <v>106802281</v>
      </c>
      <c r="K664" s="2">
        <v>44478</v>
      </c>
      <c r="L664">
        <v>21</v>
      </c>
      <c r="M664">
        <v>1</v>
      </c>
      <c r="N664">
        <v>0</v>
      </c>
      <c r="O664">
        <v>1</v>
      </c>
      <c r="P664" t="s">
        <v>7</v>
      </c>
    </row>
    <row r="665" spans="1:16">
      <c r="A665" t="s">
        <v>1021</v>
      </c>
      <c r="B665" t="s">
        <v>965</v>
      </c>
      <c r="C665">
        <v>0</v>
      </c>
      <c r="E665" t="s">
        <v>1023</v>
      </c>
      <c r="F665" t="s">
        <v>1039</v>
      </c>
      <c r="G665" t="s">
        <v>961</v>
      </c>
      <c r="H665">
        <v>0.66500000000000004</v>
      </c>
      <c r="J665">
        <v>106802304</v>
      </c>
      <c r="K665" s="2">
        <v>44490</v>
      </c>
      <c r="L665">
        <v>30</v>
      </c>
      <c r="M665">
        <v>1</v>
      </c>
      <c r="N665">
        <v>7</v>
      </c>
      <c r="O665">
        <v>1</v>
      </c>
      <c r="P665" t="s">
        <v>7</v>
      </c>
    </row>
    <row r="666" spans="1:16">
      <c r="A666" t="s">
        <v>1021</v>
      </c>
      <c r="B666" t="s">
        <v>965</v>
      </c>
      <c r="C666">
        <v>0</v>
      </c>
      <c r="E666" t="s">
        <v>979</v>
      </c>
      <c r="F666" t="s">
        <v>1054</v>
      </c>
      <c r="G666" t="s">
        <v>961</v>
      </c>
      <c r="H666">
        <v>1.5960000000000001</v>
      </c>
      <c r="J666">
        <v>106802326</v>
      </c>
      <c r="K666" s="2">
        <v>44496</v>
      </c>
      <c r="L666">
        <v>30</v>
      </c>
      <c r="M666">
        <v>1</v>
      </c>
      <c r="N666">
        <v>7</v>
      </c>
      <c r="O666">
        <v>1</v>
      </c>
      <c r="P666" t="s">
        <v>7</v>
      </c>
    </row>
    <row r="667" spans="1:16">
      <c r="A667" t="s">
        <v>1021</v>
      </c>
      <c r="B667" t="s">
        <v>1022</v>
      </c>
      <c r="C667">
        <v>2E-3</v>
      </c>
      <c r="D667" t="s">
        <v>757</v>
      </c>
      <c r="E667" t="s">
        <v>965</v>
      </c>
      <c r="F667" t="s">
        <v>968</v>
      </c>
      <c r="H667">
        <v>999.99900000000002</v>
      </c>
      <c r="J667">
        <v>106802330</v>
      </c>
      <c r="K667" s="2">
        <v>44497</v>
      </c>
      <c r="L667">
        <v>19</v>
      </c>
      <c r="M667">
        <v>1</v>
      </c>
      <c r="N667">
        <v>8</v>
      </c>
      <c r="O667">
        <v>1</v>
      </c>
      <c r="P667" t="s">
        <v>8</v>
      </c>
    </row>
    <row r="668" spans="1:16">
      <c r="A668" t="s">
        <v>1021</v>
      </c>
      <c r="B668" t="s">
        <v>965</v>
      </c>
      <c r="C668">
        <v>0</v>
      </c>
      <c r="E668" t="s">
        <v>1032</v>
      </c>
      <c r="F668" t="s">
        <v>1054</v>
      </c>
      <c r="G668" t="s">
        <v>961</v>
      </c>
      <c r="H668">
        <v>1.843</v>
      </c>
      <c r="J668">
        <v>106832361</v>
      </c>
      <c r="K668" s="2">
        <v>44576</v>
      </c>
      <c r="L668">
        <v>30</v>
      </c>
      <c r="M668">
        <v>1</v>
      </c>
      <c r="N668">
        <v>7</v>
      </c>
      <c r="O668">
        <v>1</v>
      </c>
      <c r="P668" t="s">
        <v>7</v>
      </c>
    </row>
    <row r="669" spans="1:16">
      <c r="A669" t="s">
        <v>1021</v>
      </c>
      <c r="B669" t="s">
        <v>1023</v>
      </c>
      <c r="C669">
        <v>0</v>
      </c>
      <c r="E669" t="s">
        <v>965</v>
      </c>
      <c r="F669" t="s">
        <v>1135</v>
      </c>
      <c r="G669" t="s">
        <v>961</v>
      </c>
      <c r="H669">
        <v>0.66500000000000004</v>
      </c>
      <c r="J669">
        <v>106802345</v>
      </c>
      <c r="K669" s="2">
        <v>44502</v>
      </c>
      <c r="L669">
        <v>23</v>
      </c>
      <c r="M669">
        <v>1</v>
      </c>
      <c r="N669">
        <v>7</v>
      </c>
      <c r="O669">
        <v>5</v>
      </c>
      <c r="P669" t="s">
        <v>3</v>
      </c>
    </row>
    <row r="670" spans="1:16">
      <c r="A670" t="s">
        <v>1021</v>
      </c>
      <c r="B670" t="s">
        <v>965</v>
      </c>
      <c r="C670">
        <v>0.32</v>
      </c>
      <c r="D670" t="s">
        <v>758</v>
      </c>
      <c r="E670" t="s">
        <v>1023</v>
      </c>
      <c r="F670" t="s">
        <v>1020</v>
      </c>
      <c r="G670" t="s">
        <v>961</v>
      </c>
      <c r="H670">
        <v>0.34499999999999997</v>
      </c>
      <c r="J670">
        <v>106802186</v>
      </c>
      <c r="K670" s="2">
        <v>44418</v>
      </c>
      <c r="L670">
        <v>28</v>
      </c>
      <c r="M670">
        <v>1</v>
      </c>
      <c r="N670">
        <v>7</v>
      </c>
      <c r="O670">
        <v>1</v>
      </c>
      <c r="P670" t="s">
        <v>7</v>
      </c>
    </row>
    <row r="671" spans="1:16">
      <c r="A671" t="s">
        <v>1021</v>
      </c>
      <c r="B671" t="s">
        <v>965</v>
      </c>
      <c r="C671">
        <v>8.5000000000000006E-2</v>
      </c>
      <c r="D671" t="s">
        <v>758</v>
      </c>
      <c r="E671" t="s">
        <v>1052</v>
      </c>
      <c r="F671" t="s">
        <v>1064</v>
      </c>
      <c r="G671" t="s">
        <v>961</v>
      </c>
      <c r="H671">
        <v>1.3460000000000001</v>
      </c>
      <c r="J671">
        <v>106802074</v>
      </c>
      <c r="K671" s="2">
        <v>44364</v>
      </c>
      <c r="L671">
        <v>28</v>
      </c>
      <c r="M671">
        <v>1</v>
      </c>
      <c r="N671">
        <v>0</v>
      </c>
      <c r="O671">
        <v>1</v>
      </c>
      <c r="P671" t="s">
        <v>7</v>
      </c>
    </row>
    <row r="672" spans="1:16">
      <c r="A672" t="s">
        <v>1021</v>
      </c>
      <c r="B672" t="s">
        <v>966</v>
      </c>
      <c r="C672">
        <v>0</v>
      </c>
      <c r="E672" t="s">
        <v>1028</v>
      </c>
      <c r="F672" t="s">
        <v>964</v>
      </c>
      <c r="H672">
        <v>999.99900000000002</v>
      </c>
      <c r="J672">
        <v>106832235</v>
      </c>
      <c r="K672" s="2">
        <v>44575</v>
      </c>
      <c r="L672">
        <v>30</v>
      </c>
      <c r="M672">
        <v>1</v>
      </c>
      <c r="N672">
        <v>7</v>
      </c>
      <c r="O672">
        <v>1</v>
      </c>
      <c r="P672" t="s">
        <v>3</v>
      </c>
    </row>
    <row r="673" spans="1:19">
      <c r="A673" t="s">
        <v>1021</v>
      </c>
      <c r="B673" t="s">
        <v>966</v>
      </c>
      <c r="C673">
        <v>0</v>
      </c>
      <c r="E673" t="s">
        <v>1086</v>
      </c>
      <c r="F673" t="s">
        <v>1050</v>
      </c>
      <c r="H673">
        <v>999.99900000000002</v>
      </c>
      <c r="J673">
        <v>106802147</v>
      </c>
      <c r="K673" s="2">
        <v>44395</v>
      </c>
      <c r="L673">
        <v>24</v>
      </c>
      <c r="M673">
        <v>1</v>
      </c>
      <c r="N673">
        <v>8</v>
      </c>
      <c r="O673">
        <v>1</v>
      </c>
      <c r="P673" t="s">
        <v>7</v>
      </c>
    </row>
    <row r="674" spans="1:19">
      <c r="A674" t="s">
        <v>1021</v>
      </c>
      <c r="B674" t="s">
        <v>965</v>
      </c>
      <c r="C674">
        <v>2E-3</v>
      </c>
      <c r="D674" t="s">
        <v>756</v>
      </c>
      <c r="E674" t="s">
        <v>1023</v>
      </c>
      <c r="F674" t="s">
        <v>1039</v>
      </c>
      <c r="G674" t="s">
        <v>961</v>
      </c>
      <c r="H674">
        <v>0.66700000000000004</v>
      </c>
      <c r="J674">
        <v>106802149</v>
      </c>
      <c r="K674" s="2">
        <v>44396</v>
      </c>
      <c r="L674">
        <v>30</v>
      </c>
      <c r="M674">
        <v>1</v>
      </c>
      <c r="N674">
        <v>0</v>
      </c>
      <c r="O674">
        <v>4</v>
      </c>
      <c r="P674" t="s">
        <v>7</v>
      </c>
    </row>
    <row r="675" spans="1:19">
      <c r="A675" t="s">
        <v>1021</v>
      </c>
      <c r="B675" t="s">
        <v>1136</v>
      </c>
      <c r="C675">
        <v>8.9999999999999993E-3</v>
      </c>
      <c r="D675" t="s">
        <v>6</v>
      </c>
      <c r="E675" t="s">
        <v>965</v>
      </c>
      <c r="F675" t="s">
        <v>1032</v>
      </c>
      <c r="H675">
        <v>999.99900000000002</v>
      </c>
      <c r="J675">
        <v>106802254</v>
      </c>
      <c r="K675" s="2">
        <v>44463</v>
      </c>
      <c r="L675">
        <v>31</v>
      </c>
      <c r="M675">
        <v>1</v>
      </c>
      <c r="N675">
        <v>0</v>
      </c>
      <c r="O675">
        <v>1</v>
      </c>
      <c r="P675" t="s">
        <v>7</v>
      </c>
    </row>
    <row r="676" spans="1:19">
      <c r="A676" t="s">
        <v>1021</v>
      </c>
      <c r="B676" t="s">
        <v>965</v>
      </c>
      <c r="C676">
        <v>0</v>
      </c>
      <c r="E676" t="s">
        <v>1026</v>
      </c>
      <c r="F676" t="s">
        <v>1033</v>
      </c>
      <c r="G676" t="s">
        <v>1036</v>
      </c>
      <c r="H676">
        <v>0.64300000000000002</v>
      </c>
      <c r="J676">
        <v>106802276</v>
      </c>
      <c r="K676" s="2">
        <v>44477</v>
      </c>
      <c r="L676">
        <v>18</v>
      </c>
      <c r="M676">
        <v>2</v>
      </c>
      <c r="N676">
        <v>9</v>
      </c>
      <c r="O676">
        <v>1</v>
      </c>
      <c r="P676" t="s">
        <v>7</v>
      </c>
    </row>
    <row r="677" spans="1:19">
      <c r="A677" t="s">
        <v>754</v>
      </c>
      <c r="B677" t="s">
        <v>962</v>
      </c>
      <c r="C677">
        <v>0.1</v>
      </c>
      <c r="D677" t="s">
        <v>758</v>
      </c>
      <c r="E677" t="s">
        <v>968</v>
      </c>
      <c r="F677" t="s">
        <v>975</v>
      </c>
      <c r="G677" t="s">
        <v>962</v>
      </c>
      <c r="H677">
        <v>2.0920000000000001</v>
      </c>
      <c r="J677">
        <v>108524655</v>
      </c>
      <c r="K677" s="2">
        <v>46181</v>
      </c>
      <c r="L677">
        <v>18</v>
      </c>
      <c r="M677">
        <v>1</v>
      </c>
      <c r="N677">
        <v>0</v>
      </c>
      <c r="O677">
        <v>1</v>
      </c>
      <c r="P677" t="s">
        <v>7</v>
      </c>
      <c r="Q677">
        <v>35.177050000000001</v>
      </c>
      <c r="R677">
        <v>-79.435509999999994</v>
      </c>
      <c r="S677" t="s">
        <v>755</v>
      </c>
    </row>
    <row r="678" spans="1:19">
      <c r="A678" t="s">
        <v>1021</v>
      </c>
      <c r="B678" t="s">
        <v>965</v>
      </c>
      <c r="C678">
        <v>0.03</v>
      </c>
      <c r="D678" t="s">
        <v>756</v>
      </c>
      <c r="E678" t="s">
        <v>1039</v>
      </c>
      <c r="F678" t="s">
        <v>1056</v>
      </c>
      <c r="G678" t="s">
        <v>961</v>
      </c>
      <c r="H678">
        <v>0.86899999999999999</v>
      </c>
      <c r="J678">
        <v>106802183</v>
      </c>
      <c r="K678" s="2">
        <v>44414</v>
      </c>
      <c r="L678">
        <v>1</v>
      </c>
      <c r="M678">
        <v>1</v>
      </c>
      <c r="N678">
        <v>0</v>
      </c>
      <c r="O678">
        <v>5</v>
      </c>
      <c r="P678" t="s">
        <v>8</v>
      </c>
    </row>
    <row r="679" spans="1:19">
      <c r="A679" t="s">
        <v>1021</v>
      </c>
      <c r="B679" t="s">
        <v>1032</v>
      </c>
      <c r="C679">
        <v>0</v>
      </c>
      <c r="D679" t="s">
        <v>763</v>
      </c>
      <c r="E679" t="s">
        <v>965</v>
      </c>
      <c r="F679" t="s">
        <v>1035</v>
      </c>
      <c r="G679" t="s">
        <v>1032</v>
      </c>
      <c r="H679">
        <v>0.12</v>
      </c>
      <c r="J679">
        <v>106802237</v>
      </c>
      <c r="K679" s="2">
        <v>44454</v>
      </c>
      <c r="L679">
        <v>21</v>
      </c>
      <c r="M679">
        <v>1</v>
      </c>
      <c r="N679">
        <v>8</v>
      </c>
      <c r="O679">
        <v>1</v>
      </c>
      <c r="P679" t="s">
        <v>7</v>
      </c>
    </row>
    <row r="680" spans="1:19">
      <c r="A680" t="s">
        <v>1021</v>
      </c>
      <c r="B680" t="s">
        <v>965</v>
      </c>
      <c r="C680">
        <v>0</v>
      </c>
      <c r="E680" t="s">
        <v>1023</v>
      </c>
      <c r="F680" t="s">
        <v>1064</v>
      </c>
      <c r="G680" t="s">
        <v>961</v>
      </c>
      <c r="H680">
        <v>0.66500000000000004</v>
      </c>
      <c r="J680">
        <v>106802290</v>
      </c>
      <c r="K680" s="2">
        <v>44483</v>
      </c>
      <c r="L680">
        <v>30</v>
      </c>
      <c r="M680">
        <v>1</v>
      </c>
      <c r="N680">
        <v>7</v>
      </c>
      <c r="O680">
        <v>1</v>
      </c>
      <c r="P680" t="s">
        <v>3</v>
      </c>
    </row>
    <row r="681" spans="1:19">
      <c r="A681" t="s">
        <v>1021</v>
      </c>
      <c r="B681" t="s">
        <v>968</v>
      </c>
      <c r="C681">
        <v>0</v>
      </c>
      <c r="D681" t="s">
        <v>6</v>
      </c>
      <c r="E681" t="s">
        <v>965</v>
      </c>
      <c r="F681" t="s">
        <v>963</v>
      </c>
      <c r="G681" t="s">
        <v>968</v>
      </c>
      <c r="H681">
        <v>7.75</v>
      </c>
      <c r="J681">
        <v>106802303</v>
      </c>
      <c r="K681" s="2">
        <v>44489</v>
      </c>
      <c r="L681">
        <v>28</v>
      </c>
      <c r="M681">
        <v>1</v>
      </c>
      <c r="N681">
        <v>7</v>
      </c>
      <c r="O681">
        <v>5</v>
      </c>
      <c r="P681" t="s">
        <v>8</v>
      </c>
    </row>
    <row r="682" spans="1:19">
      <c r="A682" t="s">
        <v>1021</v>
      </c>
      <c r="B682" t="s">
        <v>1080</v>
      </c>
      <c r="C682">
        <v>0</v>
      </c>
      <c r="D682" t="s">
        <v>758</v>
      </c>
      <c r="E682" t="s">
        <v>964</v>
      </c>
      <c r="F682" t="s">
        <v>965</v>
      </c>
      <c r="G682" t="s">
        <v>968</v>
      </c>
      <c r="H682">
        <v>8.1210000000000004</v>
      </c>
      <c r="J682">
        <v>106801983</v>
      </c>
      <c r="K682" s="2">
        <v>44322</v>
      </c>
      <c r="L682">
        <v>19</v>
      </c>
      <c r="M682">
        <v>1</v>
      </c>
      <c r="N682">
        <v>7</v>
      </c>
      <c r="O682">
        <v>1</v>
      </c>
      <c r="P682" t="s">
        <v>7</v>
      </c>
    </row>
    <row r="683" spans="1:19">
      <c r="A683" t="s">
        <v>1021</v>
      </c>
      <c r="B683" t="s">
        <v>1080</v>
      </c>
      <c r="C683">
        <v>6.0000000000000001E-3</v>
      </c>
      <c r="D683" t="s">
        <v>757</v>
      </c>
      <c r="E683" t="s">
        <v>965</v>
      </c>
      <c r="F683" t="s">
        <v>963</v>
      </c>
      <c r="G683" t="s">
        <v>968</v>
      </c>
      <c r="H683">
        <v>7.7560000000000002</v>
      </c>
      <c r="J683">
        <v>106802032</v>
      </c>
      <c r="K683" s="2">
        <v>44348</v>
      </c>
      <c r="L683">
        <v>21</v>
      </c>
      <c r="M683">
        <v>1</v>
      </c>
      <c r="N683">
        <v>7</v>
      </c>
      <c r="O683">
        <v>1</v>
      </c>
      <c r="P683" t="s">
        <v>7</v>
      </c>
    </row>
    <row r="684" spans="1:19">
      <c r="A684" t="s">
        <v>1021</v>
      </c>
      <c r="B684" t="s">
        <v>965</v>
      </c>
      <c r="C684">
        <v>1E-3</v>
      </c>
      <c r="D684" t="s">
        <v>756</v>
      </c>
      <c r="E684" t="s">
        <v>979</v>
      </c>
      <c r="F684" t="s">
        <v>1137</v>
      </c>
      <c r="G684" t="s">
        <v>961</v>
      </c>
      <c r="H684">
        <v>1.597</v>
      </c>
      <c r="J684">
        <v>106846544</v>
      </c>
      <c r="K684" s="2">
        <v>44590</v>
      </c>
      <c r="L684">
        <v>21</v>
      </c>
      <c r="M684">
        <v>1</v>
      </c>
      <c r="N684">
        <v>7</v>
      </c>
      <c r="O684">
        <v>4</v>
      </c>
      <c r="P684" t="s">
        <v>7</v>
      </c>
    </row>
    <row r="685" spans="1:19">
      <c r="A685" t="s">
        <v>1021</v>
      </c>
      <c r="B685" t="s">
        <v>965</v>
      </c>
      <c r="C685">
        <v>7.5999999999999998E-2</v>
      </c>
      <c r="D685" t="s">
        <v>758</v>
      </c>
      <c r="E685" t="s">
        <v>967</v>
      </c>
      <c r="F685" t="s">
        <v>968</v>
      </c>
      <c r="G685" t="s">
        <v>961</v>
      </c>
      <c r="H685">
        <v>0.13500000000000001</v>
      </c>
      <c r="J685">
        <v>106802440</v>
      </c>
      <c r="K685" s="2">
        <v>44537</v>
      </c>
      <c r="L685">
        <v>30</v>
      </c>
      <c r="M685">
        <v>1</v>
      </c>
      <c r="N685">
        <v>0</v>
      </c>
      <c r="O685">
        <v>1</v>
      </c>
      <c r="P685" t="s">
        <v>7</v>
      </c>
    </row>
    <row r="686" spans="1:19">
      <c r="A686" t="s">
        <v>1021</v>
      </c>
      <c r="B686" t="s">
        <v>968</v>
      </c>
      <c r="C686">
        <v>1.4E-2</v>
      </c>
      <c r="D686" t="s">
        <v>757</v>
      </c>
      <c r="E686" t="s">
        <v>965</v>
      </c>
      <c r="F686" t="s">
        <v>1072</v>
      </c>
      <c r="G686" t="s">
        <v>968</v>
      </c>
      <c r="H686">
        <v>7.7640000000000002</v>
      </c>
      <c r="J686">
        <v>106802436</v>
      </c>
      <c r="K686" s="2">
        <v>44538</v>
      </c>
      <c r="L686">
        <v>21</v>
      </c>
      <c r="M686">
        <v>1</v>
      </c>
      <c r="N686">
        <v>0</v>
      </c>
      <c r="O686">
        <v>1</v>
      </c>
      <c r="P686" t="s">
        <v>7</v>
      </c>
    </row>
    <row r="687" spans="1:19">
      <c r="A687" t="s">
        <v>1021</v>
      </c>
      <c r="B687" t="s">
        <v>966</v>
      </c>
      <c r="C687">
        <v>0</v>
      </c>
      <c r="E687" t="s">
        <v>1028</v>
      </c>
      <c r="H687">
        <v>999.99900000000002</v>
      </c>
      <c r="J687">
        <v>106802146</v>
      </c>
      <c r="K687" s="2">
        <v>44395</v>
      </c>
      <c r="L687">
        <v>1</v>
      </c>
      <c r="M687">
        <v>1</v>
      </c>
      <c r="N687">
        <v>7</v>
      </c>
      <c r="O687">
        <v>1</v>
      </c>
      <c r="P687" t="s">
        <v>7</v>
      </c>
    </row>
    <row r="688" spans="1:19">
      <c r="A688" t="s">
        <v>1021</v>
      </c>
      <c r="B688" t="s">
        <v>965</v>
      </c>
      <c r="C688">
        <v>0</v>
      </c>
      <c r="E688" t="s">
        <v>1026</v>
      </c>
      <c r="F688" t="s">
        <v>1025</v>
      </c>
      <c r="G688" t="s">
        <v>1036</v>
      </c>
      <c r="H688">
        <v>0.64300000000000002</v>
      </c>
      <c r="J688">
        <v>106802171</v>
      </c>
      <c r="K688" s="2">
        <v>44409</v>
      </c>
      <c r="L688">
        <v>2</v>
      </c>
      <c r="M688">
        <v>1</v>
      </c>
      <c r="N688">
        <v>9</v>
      </c>
      <c r="O688">
        <v>4</v>
      </c>
    </row>
    <row r="689" spans="1:16">
      <c r="A689" t="s">
        <v>1021</v>
      </c>
      <c r="B689" t="s">
        <v>965</v>
      </c>
      <c r="C689">
        <v>8.9999999999999993E-3</v>
      </c>
      <c r="D689" t="s">
        <v>758</v>
      </c>
      <c r="E689" t="s">
        <v>1064</v>
      </c>
      <c r="F689" t="s">
        <v>1056</v>
      </c>
      <c r="G689" t="s">
        <v>961</v>
      </c>
      <c r="H689">
        <v>1.3959999999999999</v>
      </c>
      <c r="J689">
        <v>106802187</v>
      </c>
      <c r="K689" s="2">
        <v>44418</v>
      </c>
      <c r="L689">
        <v>1</v>
      </c>
      <c r="M689">
        <v>3</v>
      </c>
      <c r="N689">
        <v>0</v>
      </c>
      <c r="O689">
        <v>1</v>
      </c>
      <c r="P689" t="s">
        <v>7</v>
      </c>
    </row>
    <row r="690" spans="1:16">
      <c r="A690" t="s">
        <v>1021</v>
      </c>
      <c r="B690" t="s">
        <v>965</v>
      </c>
      <c r="C690">
        <v>0</v>
      </c>
      <c r="E690" t="s">
        <v>1138</v>
      </c>
      <c r="F690" t="s">
        <v>1033</v>
      </c>
      <c r="H690">
        <v>999.99900000000002</v>
      </c>
      <c r="J690">
        <v>106802271</v>
      </c>
      <c r="K690" s="2">
        <v>44470</v>
      </c>
      <c r="L690">
        <v>30</v>
      </c>
      <c r="M690">
        <v>1</v>
      </c>
      <c r="N690">
        <v>7</v>
      </c>
      <c r="O690">
        <v>4</v>
      </c>
      <c r="P690" t="s">
        <v>7</v>
      </c>
    </row>
    <row r="691" spans="1:16">
      <c r="A691" t="s">
        <v>1021</v>
      </c>
      <c r="B691" t="s">
        <v>965</v>
      </c>
      <c r="C691">
        <v>0</v>
      </c>
      <c r="E691" t="s">
        <v>979</v>
      </c>
      <c r="F691" t="s">
        <v>1064</v>
      </c>
      <c r="G691" t="s">
        <v>961</v>
      </c>
      <c r="H691">
        <v>1.5960000000000001</v>
      </c>
      <c r="J691">
        <v>106802327</v>
      </c>
      <c r="K691" s="2">
        <v>44496</v>
      </c>
      <c r="L691">
        <v>21</v>
      </c>
      <c r="M691">
        <v>1</v>
      </c>
      <c r="N691">
        <v>2</v>
      </c>
      <c r="O691">
        <v>1</v>
      </c>
      <c r="P691" t="s">
        <v>7</v>
      </c>
    </row>
    <row r="692" spans="1:16">
      <c r="A692" t="s">
        <v>1021</v>
      </c>
      <c r="B692" t="s">
        <v>965</v>
      </c>
      <c r="C692">
        <v>0</v>
      </c>
      <c r="D692" t="s">
        <v>756</v>
      </c>
      <c r="E692" t="s">
        <v>1023</v>
      </c>
      <c r="F692" t="s">
        <v>1037</v>
      </c>
      <c r="G692" t="s">
        <v>961</v>
      </c>
      <c r="H692">
        <v>0.66500000000000004</v>
      </c>
      <c r="J692">
        <v>106802337</v>
      </c>
      <c r="K692" s="2">
        <v>44500</v>
      </c>
      <c r="L692">
        <v>21</v>
      </c>
      <c r="M692">
        <v>1</v>
      </c>
      <c r="N692">
        <v>7</v>
      </c>
      <c r="O692">
        <v>1</v>
      </c>
      <c r="P692" t="s">
        <v>7</v>
      </c>
    </row>
    <row r="693" spans="1:16">
      <c r="A693" t="s">
        <v>1021</v>
      </c>
      <c r="B693" t="s">
        <v>968</v>
      </c>
      <c r="C693">
        <v>0</v>
      </c>
      <c r="E693" t="s">
        <v>965</v>
      </c>
      <c r="G693" t="s">
        <v>968</v>
      </c>
      <c r="H693">
        <v>7.75</v>
      </c>
      <c r="J693">
        <v>106802411</v>
      </c>
      <c r="K693" s="2">
        <v>44525</v>
      </c>
      <c r="L693">
        <v>21</v>
      </c>
      <c r="M693">
        <v>1</v>
      </c>
      <c r="N693">
        <v>0</v>
      </c>
      <c r="O693">
        <v>4</v>
      </c>
      <c r="P693" t="s">
        <v>7</v>
      </c>
    </row>
    <row r="694" spans="1:16">
      <c r="A694" t="s">
        <v>1021</v>
      </c>
      <c r="B694" t="s">
        <v>965</v>
      </c>
      <c r="C694">
        <v>1.9E-2</v>
      </c>
      <c r="D694" t="s">
        <v>762</v>
      </c>
      <c r="E694" t="s">
        <v>1054</v>
      </c>
      <c r="F694" t="s">
        <v>1032</v>
      </c>
      <c r="G694" t="s">
        <v>961</v>
      </c>
      <c r="H694">
        <v>1.742</v>
      </c>
      <c r="J694">
        <v>106802460</v>
      </c>
      <c r="K694" s="2">
        <v>44543</v>
      </c>
      <c r="L694">
        <v>30</v>
      </c>
      <c r="M694">
        <v>1</v>
      </c>
      <c r="N694">
        <v>0</v>
      </c>
      <c r="O694">
        <v>2</v>
      </c>
      <c r="P694" t="s">
        <v>7</v>
      </c>
    </row>
    <row r="695" spans="1:16">
      <c r="A695" t="s">
        <v>1021</v>
      </c>
      <c r="B695" t="s">
        <v>965</v>
      </c>
      <c r="C695">
        <v>0.25</v>
      </c>
      <c r="D695" t="s">
        <v>758</v>
      </c>
      <c r="E695" t="s">
        <v>967</v>
      </c>
      <c r="F695" t="s">
        <v>968</v>
      </c>
      <c r="G695" t="s">
        <v>962</v>
      </c>
      <c r="H695">
        <v>2.153</v>
      </c>
      <c r="J695">
        <v>106802099</v>
      </c>
      <c r="K695" s="2">
        <v>44377</v>
      </c>
      <c r="L695">
        <v>22</v>
      </c>
      <c r="M695">
        <v>1</v>
      </c>
      <c r="N695">
        <v>0</v>
      </c>
      <c r="O695">
        <v>1</v>
      </c>
      <c r="P695" t="s">
        <v>7</v>
      </c>
    </row>
    <row r="696" spans="1:16">
      <c r="A696" t="s">
        <v>1021</v>
      </c>
      <c r="B696" t="s">
        <v>965</v>
      </c>
      <c r="C696">
        <v>0</v>
      </c>
      <c r="E696" t="s">
        <v>979</v>
      </c>
      <c r="F696" t="s">
        <v>1032</v>
      </c>
      <c r="G696" t="s">
        <v>961</v>
      </c>
      <c r="H696">
        <v>1.5960000000000001</v>
      </c>
      <c r="J696">
        <v>106802035</v>
      </c>
      <c r="K696" s="2">
        <v>44349</v>
      </c>
      <c r="L696">
        <v>21</v>
      </c>
      <c r="M696">
        <v>2</v>
      </c>
      <c r="N696">
        <v>2</v>
      </c>
      <c r="O696">
        <v>1</v>
      </c>
      <c r="P696" t="s">
        <v>7</v>
      </c>
    </row>
    <row r="697" spans="1:16">
      <c r="A697" t="s">
        <v>1021</v>
      </c>
      <c r="B697" t="s">
        <v>968</v>
      </c>
      <c r="C697">
        <v>0</v>
      </c>
      <c r="E697" t="s">
        <v>965</v>
      </c>
      <c r="F697" t="s">
        <v>1050</v>
      </c>
      <c r="G697" t="s">
        <v>968</v>
      </c>
      <c r="H697">
        <v>7.75</v>
      </c>
      <c r="J697">
        <v>106802152</v>
      </c>
      <c r="K697" s="2">
        <v>44399</v>
      </c>
      <c r="L697">
        <v>21</v>
      </c>
      <c r="M697">
        <v>1</v>
      </c>
      <c r="N697">
        <v>7</v>
      </c>
      <c r="O697">
        <v>1</v>
      </c>
      <c r="P697" t="s">
        <v>7</v>
      </c>
    </row>
    <row r="698" spans="1:16">
      <c r="A698" t="s">
        <v>1021</v>
      </c>
      <c r="B698" t="s">
        <v>1080</v>
      </c>
      <c r="C698">
        <v>0</v>
      </c>
      <c r="D698" t="s">
        <v>765</v>
      </c>
      <c r="E698" t="s">
        <v>965</v>
      </c>
      <c r="F698" t="s">
        <v>964</v>
      </c>
      <c r="G698" t="s">
        <v>968</v>
      </c>
      <c r="H698">
        <v>7.75</v>
      </c>
      <c r="J698">
        <v>106801970</v>
      </c>
      <c r="K698" s="2">
        <v>44316</v>
      </c>
      <c r="L698">
        <v>21</v>
      </c>
      <c r="M698">
        <v>1</v>
      </c>
      <c r="N698">
        <v>7</v>
      </c>
      <c r="O698">
        <v>1</v>
      </c>
      <c r="P698" t="s">
        <v>7</v>
      </c>
    </row>
    <row r="699" spans="1:16">
      <c r="A699" t="s">
        <v>1021</v>
      </c>
      <c r="B699" t="s">
        <v>965</v>
      </c>
      <c r="C699">
        <v>0.1</v>
      </c>
      <c r="D699" t="s">
        <v>758</v>
      </c>
      <c r="E699" t="s">
        <v>967</v>
      </c>
      <c r="F699" t="s">
        <v>968</v>
      </c>
      <c r="G699" t="s">
        <v>961</v>
      </c>
      <c r="H699">
        <v>0.111</v>
      </c>
      <c r="J699">
        <v>106802294</v>
      </c>
      <c r="K699" s="2">
        <v>44484</v>
      </c>
      <c r="L699">
        <v>23</v>
      </c>
      <c r="M699">
        <v>1</v>
      </c>
      <c r="N699">
        <v>8</v>
      </c>
      <c r="O699">
        <v>1</v>
      </c>
      <c r="P699" t="s">
        <v>7</v>
      </c>
    </row>
    <row r="700" spans="1:16">
      <c r="A700" t="s">
        <v>1021</v>
      </c>
      <c r="B700" t="s">
        <v>965</v>
      </c>
      <c r="C700">
        <v>0.01</v>
      </c>
      <c r="D700" t="s">
        <v>758</v>
      </c>
      <c r="E700" t="s">
        <v>967</v>
      </c>
      <c r="F700" t="s">
        <v>968</v>
      </c>
      <c r="G700" t="s">
        <v>961</v>
      </c>
      <c r="H700">
        <v>0.20100000000000001</v>
      </c>
      <c r="J700">
        <v>106802024</v>
      </c>
      <c r="K700" s="2">
        <v>44342</v>
      </c>
      <c r="L700">
        <v>21</v>
      </c>
      <c r="M700">
        <v>1</v>
      </c>
      <c r="N700">
        <v>0</v>
      </c>
      <c r="O700">
        <v>1</v>
      </c>
      <c r="P700" t="s">
        <v>7</v>
      </c>
    </row>
    <row r="701" spans="1:16">
      <c r="A701" t="s">
        <v>1021</v>
      </c>
      <c r="B701" t="s">
        <v>965</v>
      </c>
      <c r="C701">
        <v>5.7000000000000002E-2</v>
      </c>
      <c r="D701" t="s">
        <v>758</v>
      </c>
      <c r="E701" t="s">
        <v>1020</v>
      </c>
      <c r="F701" t="s">
        <v>967</v>
      </c>
      <c r="G701" t="s">
        <v>961</v>
      </c>
      <c r="H701">
        <v>0.28299999999999997</v>
      </c>
      <c r="J701">
        <v>106810307</v>
      </c>
      <c r="K701" s="2">
        <v>44550</v>
      </c>
      <c r="L701">
        <v>28</v>
      </c>
      <c r="M701">
        <v>1</v>
      </c>
      <c r="N701">
        <v>0</v>
      </c>
      <c r="O701">
        <v>4</v>
      </c>
      <c r="P701" t="s">
        <v>7</v>
      </c>
    </row>
    <row r="702" spans="1:16">
      <c r="A702" t="s">
        <v>1021</v>
      </c>
      <c r="B702" t="s">
        <v>965</v>
      </c>
      <c r="C702">
        <v>0.28199999999999997</v>
      </c>
      <c r="D702" t="s">
        <v>756</v>
      </c>
      <c r="E702" t="s">
        <v>1080</v>
      </c>
      <c r="F702" t="s">
        <v>1020</v>
      </c>
      <c r="G702" t="s">
        <v>961</v>
      </c>
      <c r="H702">
        <v>0.28199999999999997</v>
      </c>
      <c r="J702">
        <v>106802398</v>
      </c>
      <c r="K702" s="2">
        <v>44520</v>
      </c>
      <c r="L702">
        <v>17</v>
      </c>
      <c r="M702">
        <v>1</v>
      </c>
      <c r="N702">
        <v>0</v>
      </c>
      <c r="O702">
        <v>5</v>
      </c>
      <c r="P702" t="s">
        <v>7</v>
      </c>
    </row>
    <row r="703" spans="1:16">
      <c r="A703" t="s">
        <v>1021</v>
      </c>
      <c r="B703" t="s">
        <v>965</v>
      </c>
      <c r="C703">
        <v>3.7999999999999999E-2</v>
      </c>
      <c r="D703" t="s">
        <v>758</v>
      </c>
      <c r="E703" t="s">
        <v>1064</v>
      </c>
      <c r="F703" t="s">
        <v>1056</v>
      </c>
      <c r="G703" t="s">
        <v>961</v>
      </c>
      <c r="H703">
        <v>1.367</v>
      </c>
      <c r="J703">
        <v>106802433</v>
      </c>
      <c r="K703" s="2">
        <v>44534</v>
      </c>
      <c r="L703">
        <v>21</v>
      </c>
      <c r="M703">
        <v>1</v>
      </c>
      <c r="N703">
        <v>12</v>
      </c>
      <c r="O703">
        <v>1</v>
      </c>
      <c r="P703" t="s">
        <v>7</v>
      </c>
    </row>
    <row r="704" spans="1:16">
      <c r="A704" t="s">
        <v>1021</v>
      </c>
      <c r="B704" t="s">
        <v>965</v>
      </c>
      <c r="C704">
        <v>0</v>
      </c>
      <c r="E704" t="s">
        <v>1023</v>
      </c>
      <c r="F704" t="s">
        <v>1020</v>
      </c>
      <c r="G704" t="s">
        <v>961</v>
      </c>
      <c r="H704">
        <v>0.66500000000000004</v>
      </c>
      <c r="J704">
        <v>106802225</v>
      </c>
      <c r="K704" s="2">
        <v>44443</v>
      </c>
      <c r="L704">
        <v>30</v>
      </c>
      <c r="M704">
        <v>1</v>
      </c>
      <c r="N704">
        <v>7</v>
      </c>
      <c r="O704">
        <v>5</v>
      </c>
      <c r="P704" t="s">
        <v>3</v>
      </c>
    </row>
    <row r="705" spans="1:16">
      <c r="A705" t="s">
        <v>1021</v>
      </c>
      <c r="B705" t="s">
        <v>979</v>
      </c>
      <c r="C705">
        <v>0</v>
      </c>
      <c r="E705" t="s">
        <v>965</v>
      </c>
      <c r="F705" t="s">
        <v>1052</v>
      </c>
      <c r="G705" t="s">
        <v>979</v>
      </c>
      <c r="H705">
        <v>9.6630000000000003</v>
      </c>
      <c r="J705">
        <v>106802229</v>
      </c>
      <c r="K705" s="2">
        <v>44447</v>
      </c>
      <c r="L705">
        <v>21</v>
      </c>
      <c r="M705">
        <v>1</v>
      </c>
      <c r="N705">
        <v>15</v>
      </c>
      <c r="O705">
        <v>1</v>
      </c>
      <c r="P705" t="s">
        <v>7</v>
      </c>
    </row>
    <row r="706" spans="1:16">
      <c r="A706" t="s">
        <v>1021</v>
      </c>
      <c r="B706" t="s">
        <v>968</v>
      </c>
      <c r="C706">
        <v>0</v>
      </c>
      <c r="E706" t="s">
        <v>965</v>
      </c>
      <c r="F706" t="s">
        <v>964</v>
      </c>
      <c r="G706" t="s">
        <v>968</v>
      </c>
      <c r="H706">
        <v>7.75</v>
      </c>
      <c r="J706">
        <v>106802204</v>
      </c>
      <c r="K706" s="2">
        <v>44430</v>
      </c>
      <c r="L706">
        <v>21</v>
      </c>
      <c r="M706">
        <v>1</v>
      </c>
      <c r="N706">
        <v>7</v>
      </c>
      <c r="O706">
        <v>1</v>
      </c>
      <c r="P706" t="s">
        <v>7</v>
      </c>
    </row>
    <row r="707" spans="1:16">
      <c r="A707" t="s">
        <v>1021</v>
      </c>
      <c r="B707" t="s">
        <v>965</v>
      </c>
      <c r="C707">
        <v>0.1</v>
      </c>
      <c r="E707" t="s">
        <v>1032</v>
      </c>
      <c r="F707" t="s">
        <v>1025</v>
      </c>
      <c r="G707" t="s">
        <v>961</v>
      </c>
      <c r="H707">
        <v>1.843</v>
      </c>
      <c r="I707" t="s">
        <v>61</v>
      </c>
      <c r="J707">
        <v>106802210</v>
      </c>
      <c r="K707" s="2">
        <v>44435</v>
      </c>
      <c r="L707">
        <v>21</v>
      </c>
      <c r="M707">
        <v>1</v>
      </c>
      <c r="N707">
        <v>7</v>
      </c>
      <c r="O707">
        <v>1</v>
      </c>
      <c r="P707" t="s">
        <v>7</v>
      </c>
    </row>
    <row r="708" spans="1:16">
      <c r="A708" t="s">
        <v>1021</v>
      </c>
      <c r="B708" t="s">
        <v>965</v>
      </c>
      <c r="C708">
        <v>0</v>
      </c>
      <c r="E708" t="s">
        <v>967</v>
      </c>
      <c r="F708" t="s">
        <v>968</v>
      </c>
      <c r="G708" t="s">
        <v>961</v>
      </c>
      <c r="H708">
        <v>0.21099999999999999</v>
      </c>
      <c r="J708">
        <v>106802287</v>
      </c>
      <c r="K708" s="2">
        <v>44481</v>
      </c>
      <c r="L708">
        <v>24</v>
      </c>
      <c r="M708">
        <v>1</v>
      </c>
      <c r="N708">
        <v>7</v>
      </c>
      <c r="O708">
        <v>1</v>
      </c>
      <c r="P708" t="s">
        <v>3</v>
      </c>
    </row>
    <row r="709" spans="1:16">
      <c r="A709" t="s">
        <v>1021</v>
      </c>
      <c r="B709" t="s">
        <v>967</v>
      </c>
      <c r="C709">
        <v>5.7000000000000002E-2</v>
      </c>
      <c r="D709" t="s">
        <v>6</v>
      </c>
      <c r="E709" t="s">
        <v>1029</v>
      </c>
      <c r="F709" t="s">
        <v>1019</v>
      </c>
      <c r="G709" t="s">
        <v>960</v>
      </c>
      <c r="H709">
        <v>0.96799999999999997</v>
      </c>
      <c r="J709">
        <v>106802305</v>
      </c>
      <c r="K709" s="2">
        <v>44490</v>
      </c>
      <c r="L709">
        <v>21</v>
      </c>
      <c r="M709">
        <v>1</v>
      </c>
      <c r="N709">
        <v>0</v>
      </c>
      <c r="O709">
        <v>1</v>
      </c>
      <c r="P709" t="s">
        <v>3</v>
      </c>
    </row>
    <row r="710" spans="1:16">
      <c r="A710" t="s">
        <v>1021</v>
      </c>
      <c r="B710" t="s">
        <v>964</v>
      </c>
      <c r="C710">
        <v>1.9E-2</v>
      </c>
      <c r="D710" t="s">
        <v>757</v>
      </c>
      <c r="E710" t="s">
        <v>968</v>
      </c>
      <c r="F710" t="s">
        <v>966</v>
      </c>
      <c r="G710" t="s">
        <v>960</v>
      </c>
      <c r="H710">
        <v>1.9E-2</v>
      </c>
      <c r="J710">
        <v>106802233</v>
      </c>
      <c r="K710" s="2">
        <v>44452</v>
      </c>
      <c r="L710">
        <v>21</v>
      </c>
      <c r="M710">
        <v>1</v>
      </c>
      <c r="N710">
        <v>0</v>
      </c>
      <c r="O710">
        <v>1</v>
      </c>
      <c r="P710" t="s">
        <v>7</v>
      </c>
    </row>
    <row r="711" spans="1:16">
      <c r="A711" t="s">
        <v>1021</v>
      </c>
      <c r="B711" t="s">
        <v>964</v>
      </c>
      <c r="C711">
        <v>0</v>
      </c>
      <c r="E711" t="s">
        <v>967</v>
      </c>
      <c r="F711" t="s">
        <v>966</v>
      </c>
      <c r="G711" t="s">
        <v>960</v>
      </c>
      <c r="H711">
        <v>0.72699999999999998</v>
      </c>
      <c r="J711">
        <v>106845781</v>
      </c>
      <c r="K711" s="2">
        <v>44590</v>
      </c>
      <c r="L711">
        <v>19</v>
      </c>
      <c r="M711">
        <v>4</v>
      </c>
      <c r="N711">
        <v>10</v>
      </c>
      <c r="O711">
        <v>1</v>
      </c>
      <c r="P711" t="s">
        <v>7</v>
      </c>
    </row>
    <row r="712" spans="1:16">
      <c r="A712" t="s">
        <v>1021</v>
      </c>
      <c r="B712" t="s">
        <v>965</v>
      </c>
      <c r="C712">
        <v>0</v>
      </c>
      <c r="E712" t="s">
        <v>1026</v>
      </c>
      <c r="F712" t="s">
        <v>1033</v>
      </c>
      <c r="G712" t="s">
        <v>1036</v>
      </c>
      <c r="H712">
        <v>0.64300000000000002</v>
      </c>
      <c r="J712">
        <v>106802289</v>
      </c>
      <c r="K712" s="2">
        <v>44481</v>
      </c>
      <c r="L712">
        <v>19</v>
      </c>
      <c r="M712">
        <v>1</v>
      </c>
      <c r="N712">
        <v>9</v>
      </c>
      <c r="O712">
        <v>4</v>
      </c>
    </row>
    <row r="713" spans="1:16">
      <c r="A713" t="s">
        <v>1021</v>
      </c>
      <c r="B713" t="s">
        <v>965</v>
      </c>
      <c r="C713">
        <v>5.7000000000000002E-2</v>
      </c>
      <c r="D713" t="s">
        <v>758</v>
      </c>
      <c r="E713" t="s">
        <v>1035</v>
      </c>
      <c r="F713" t="s">
        <v>1032</v>
      </c>
      <c r="G713" t="s">
        <v>961</v>
      </c>
      <c r="H713">
        <v>1.8360000000000001</v>
      </c>
      <c r="J713">
        <v>106802066</v>
      </c>
      <c r="K713" s="2">
        <v>44362</v>
      </c>
      <c r="L713">
        <v>21</v>
      </c>
      <c r="M713">
        <v>1</v>
      </c>
      <c r="N713">
        <v>0</v>
      </c>
      <c r="O713">
        <v>1</v>
      </c>
      <c r="P713" t="s">
        <v>3</v>
      </c>
    </row>
    <row r="714" spans="1:16">
      <c r="A714" t="s">
        <v>1021</v>
      </c>
      <c r="B714" t="s">
        <v>1032</v>
      </c>
      <c r="C714">
        <v>2.3E-2</v>
      </c>
      <c r="D714" t="s">
        <v>764</v>
      </c>
      <c r="E714" t="s">
        <v>965</v>
      </c>
      <c r="F714" t="s">
        <v>1083</v>
      </c>
      <c r="G714" t="s">
        <v>1032</v>
      </c>
      <c r="H714">
        <v>0.14299999999999999</v>
      </c>
      <c r="J714">
        <v>106802414</v>
      </c>
      <c r="K714" s="2">
        <v>44526</v>
      </c>
      <c r="L714">
        <v>21</v>
      </c>
      <c r="M714">
        <v>1</v>
      </c>
      <c r="N714">
        <v>0</v>
      </c>
      <c r="O714">
        <v>1</v>
      </c>
      <c r="P714" t="s">
        <v>3</v>
      </c>
    </row>
    <row r="715" spans="1:16">
      <c r="A715" t="s">
        <v>1021</v>
      </c>
      <c r="B715" t="s">
        <v>1139</v>
      </c>
      <c r="C715">
        <v>0</v>
      </c>
      <c r="D715" t="s">
        <v>6</v>
      </c>
      <c r="E715" t="s">
        <v>965</v>
      </c>
      <c r="F715" t="s">
        <v>1033</v>
      </c>
      <c r="H715">
        <v>999.99900000000002</v>
      </c>
      <c r="J715">
        <v>106812614</v>
      </c>
      <c r="K715" s="2">
        <v>44553</v>
      </c>
      <c r="L715">
        <v>21</v>
      </c>
      <c r="M715">
        <v>1</v>
      </c>
      <c r="N715">
        <v>0</v>
      </c>
      <c r="O715">
        <v>1</v>
      </c>
      <c r="P715" t="s">
        <v>7</v>
      </c>
    </row>
    <row r="716" spans="1:16">
      <c r="A716" t="s">
        <v>1021</v>
      </c>
      <c r="B716" t="s">
        <v>965</v>
      </c>
      <c r="C716">
        <v>4.0000000000000001E-3</v>
      </c>
      <c r="D716" t="s">
        <v>758</v>
      </c>
      <c r="E716" t="s">
        <v>968</v>
      </c>
      <c r="F716" t="s">
        <v>986</v>
      </c>
      <c r="G716" t="s">
        <v>962</v>
      </c>
      <c r="H716">
        <v>2.1880000000000002</v>
      </c>
      <c r="J716">
        <v>106843451</v>
      </c>
      <c r="K716" s="2">
        <v>44587</v>
      </c>
      <c r="L716">
        <v>28</v>
      </c>
      <c r="M716">
        <v>1</v>
      </c>
      <c r="N716">
        <v>0</v>
      </c>
      <c r="O716">
        <v>1</v>
      </c>
      <c r="P716" t="s">
        <v>7</v>
      </c>
    </row>
    <row r="717" spans="1:16">
      <c r="A717" t="s">
        <v>1021</v>
      </c>
      <c r="B717" t="s">
        <v>964</v>
      </c>
      <c r="C717">
        <v>0.25</v>
      </c>
      <c r="D717" t="s">
        <v>756</v>
      </c>
      <c r="E717" t="s">
        <v>1080</v>
      </c>
      <c r="F717" t="s">
        <v>1140</v>
      </c>
      <c r="G717" t="s">
        <v>960</v>
      </c>
      <c r="H717">
        <v>0.25</v>
      </c>
      <c r="J717">
        <v>106863687</v>
      </c>
      <c r="K717" s="2">
        <v>44606</v>
      </c>
      <c r="L717">
        <v>21</v>
      </c>
      <c r="M717">
        <v>1</v>
      </c>
      <c r="N717">
        <v>0</v>
      </c>
      <c r="O717">
        <v>1</v>
      </c>
      <c r="P717" t="s">
        <v>3</v>
      </c>
    </row>
    <row r="718" spans="1:16">
      <c r="A718" t="s">
        <v>1021</v>
      </c>
      <c r="B718" t="s">
        <v>968</v>
      </c>
      <c r="C718">
        <v>6.0000000000000001E-3</v>
      </c>
      <c r="D718" t="s">
        <v>757</v>
      </c>
      <c r="E718" t="s">
        <v>965</v>
      </c>
      <c r="F718" t="s">
        <v>964</v>
      </c>
      <c r="G718" t="s">
        <v>968</v>
      </c>
      <c r="H718">
        <v>7.7560000000000002</v>
      </c>
      <c r="J718">
        <v>106891013</v>
      </c>
      <c r="K718" s="2">
        <v>44636</v>
      </c>
      <c r="L718">
        <v>24</v>
      </c>
      <c r="M718">
        <v>1</v>
      </c>
      <c r="N718">
        <v>0</v>
      </c>
      <c r="O718">
        <v>1</v>
      </c>
      <c r="P718" t="s">
        <v>8</v>
      </c>
    </row>
    <row r="719" spans="1:16">
      <c r="A719" t="s">
        <v>1021</v>
      </c>
      <c r="B719" t="s">
        <v>965</v>
      </c>
      <c r="C719">
        <v>2.4E-2</v>
      </c>
      <c r="D719" t="s">
        <v>758</v>
      </c>
      <c r="E719" t="s">
        <v>1032</v>
      </c>
      <c r="F719" t="s">
        <v>1054</v>
      </c>
      <c r="G719" t="s">
        <v>961</v>
      </c>
      <c r="H719">
        <v>1.819</v>
      </c>
      <c r="J719">
        <v>106891012</v>
      </c>
      <c r="K719" s="2">
        <v>44636</v>
      </c>
      <c r="L719">
        <v>30</v>
      </c>
      <c r="M719">
        <v>1</v>
      </c>
      <c r="N719">
        <v>25</v>
      </c>
      <c r="O719">
        <v>1</v>
      </c>
      <c r="P719" t="s">
        <v>3</v>
      </c>
    </row>
    <row r="720" spans="1:16">
      <c r="A720" t="s">
        <v>754</v>
      </c>
      <c r="B720" t="s">
        <v>968</v>
      </c>
      <c r="C720">
        <v>2E-3</v>
      </c>
      <c r="D720" t="s">
        <v>757</v>
      </c>
      <c r="E720" t="s">
        <v>962</v>
      </c>
      <c r="F720" t="s">
        <v>960</v>
      </c>
      <c r="G720" t="s">
        <v>968</v>
      </c>
      <c r="H720">
        <v>7.7519999999999998</v>
      </c>
      <c r="J720">
        <v>106907942</v>
      </c>
      <c r="K720" s="2">
        <v>44651</v>
      </c>
      <c r="L720">
        <v>21</v>
      </c>
      <c r="M720">
        <v>2</v>
      </c>
      <c r="N720">
        <v>12</v>
      </c>
      <c r="O720">
        <v>1</v>
      </c>
      <c r="P720" t="s">
        <v>7</v>
      </c>
    </row>
    <row r="721" spans="1:19">
      <c r="A721" t="s">
        <v>1021</v>
      </c>
      <c r="B721" t="s">
        <v>965</v>
      </c>
      <c r="C721">
        <v>0</v>
      </c>
      <c r="D721" t="s">
        <v>758</v>
      </c>
      <c r="E721" t="s">
        <v>968</v>
      </c>
      <c r="F721" t="s">
        <v>986</v>
      </c>
      <c r="G721" t="s">
        <v>962</v>
      </c>
      <c r="H721">
        <v>2.1920000000000002</v>
      </c>
      <c r="J721">
        <v>106840907</v>
      </c>
      <c r="K721" s="2">
        <v>44585</v>
      </c>
      <c r="L721">
        <v>21</v>
      </c>
      <c r="M721">
        <v>1</v>
      </c>
      <c r="N721">
        <v>7</v>
      </c>
      <c r="O721">
        <v>1</v>
      </c>
      <c r="P721" t="s">
        <v>7</v>
      </c>
    </row>
    <row r="722" spans="1:19">
      <c r="A722" t="s">
        <v>1021</v>
      </c>
      <c r="B722" t="s">
        <v>965</v>
      </c>
      <c r="C722">
        <v>0</v>
      </c>
      <c r="E722" t="s">
        <v>1052</v>
      </c>
      <c r="F722" t="s">
        <v>1064</v>
      </c>
      <c r="G722" t="s">
        <v>961</v>
      </c>
      <c r="H722">
        <v>1.431</v>
      </c>
      <c r="J722">
        <v>106891071</v>
      </c>
      <c r="K722" s="2">
        <v>44636</v>
      </c>
      <c r="L722">
        <v>26</v>
      </c>
      <c r="M722">
        <v>2</v>
      </c>
      <c r="N722">
        <v>8</v>
      </c>
      <c r="O722">
        <v>1</v>
      </c>
      <c r="P722" t="s">
        <v>8</v>
      </c>
    </row>
    <row r="723" spans="1:19">
      <c r="A723" t="s">
        <v>1021</v>
      </c>
      <c r="B723" t="s">
        <v>965</v>
      </c>
      <c r="C723">
        <v>0</v>
      </c>
      <c r="E723" t="s">
        <v>979</v>
      </c>
      <c r="F723" t="s">
        <v>1054</v>
      </c>
      <c r="G723" t="s">
        <v>961</v>
      </c>
      <c r="H723">
        <v>1.5960000000000001</v>
      </c>
      <c r="J723">
        <v>106838564</v>
      </c>
      <c r="K723" s="2">
        <v>44582</v>
      </c>
      <c r="L723">
        <v>2</v>
      </c>
      <c r="M723">
        <v>4</v>
      </c>
      <c r="N723">
        <v>7</v>
      </c>
      <c r="O723">
        <v>4</v>
      </c>
      <c r="P723" t="s">
        <v>7</v>
      </c>
    </row>
    <row r="724" spans="1:19">
      <c r="A724" t="s">
        <v>1021</v>
      </c>
      <c r="B724" t="s">
        <v>965</v>
      </c>
      <c r="C724">
        <v>0</v>
      </c>
      <c r="E724" t="s">
        <v>967</v>
      </c>
      <c r="F724" t="s">
        <v>1141</v>
      </c>
      <c r="G724" t="s">
        <v>961</v>
      </c>
      <c r="H724">
        <v>0.21099999999999999</v>
      </c>
      <c r="J724">
        <v>106915544</v>
      </c>
      <c r="K724" s="2">
        <v>44660</v>
      </c>
      <c r="L724">
        <v>28</v>
      </c>
      <c r="M724">
        <v>1</v>
      </c>
      <c r="N724">
        <v>7</v>
      </c>
      <c r="O724">
        <v>1</v>
      </c>
      <c r="P724" t="s">
        <v>7</v>
      </c>
    </row>
    <row r="725" spans="1:19">
      <c r="A725" t="s">
        <v>1021</v>
      </c>
      <c r="B725" t="s">
        <v>965</v>
      </c>
      <c r="C725">
        <v>0</v>
      </c>
      <c r="E725" t="s">
        <v>979</v>
      </c>
      <c r="F725" t="s">
        <v>1054</v>
      </c>
      <c r="G725" t="s">
        <v>961</v>
      </c>
      <c r="H725">
        <v>1.5960000000000001</v>
      </c>
      <c r="J725">
        <v>106887096</v>
      </c>
      <c r="K725" s="2">
        <v>44632</v>
      </c>
      <c r="L725">
        <v>23</v>
      </c>
      <c r="M725">
        <v>1</v>
      </c>
      <c r="N725">
        <v>2</v>
      </c>
      <c r="O725">
        <v>1</v>
      </c>
      <c r="P725" t="s">
        <v>7</v>
      </c>
    </row>
    <row r="726" spans="1:19">
      <c r="A726" t="s">
        <v>1021</v>
      </c>
      <c r="B726" t="s">
        <v>966</v>
      </c>
      <c r="C726">
        <v>0</v>
      </c>
      <c r="E726" t="s">
        <v>1028</v>
      </c>
      <c r="F726" t="s">
        <v>1050</v>
      </c>
      <c r="H726">
        <v>999.99900000000002</v>
      </c>
      <c r="J726">
        <v>106911212</v>
      </c>
      <c r="K726" s="2">
        <v>44656</v>
      </c>
      <c r="L726">
        <v>30</v>
      </c>
      <c r="M726">
        <v>1</v>
      </c>
      <c r="N726">
        <v>7</v>
      </c>
      <c r="O726">
        <v>1</v>
      </c>
      <c r="P726" t="s">
        <v>7</v>
      </c>
      <c r="Q726">
        <v>35.197246999999997</v>
      </c>
      <c r="R726">
        <v>-79.426888000000005</v>
      </c>
      <c r="S726" t="s">
        <v>760</v>
      </c>
    </row>
    <row r="727" spans="1:19">
      <c r="A727" t="s">
        <v>1021</v>
      </c>
      <c r="B727" t="s">
        <v>1026</v>
      </c>
      <c r="C727">
        <v>0</v>
      </c>
      <c r="E727" t="s">
        <v>965</v>
      </c>
      <c r="F727" t="s">
        <v>1097</v>
      </c>
      <c r="G727" t="s">
        <v>1036</v>
      </c>
      <c r="H727">
        <v>0.64300000000000002</v>
      </c>
      <c r="J727">
        <v>106922214</v>
      </c>
      <c r="K727" s="2">
        <v>44665</v>
      </c>
      <c r="L727">
        <v>2</v>
      </c>
      <c r="M727">
        <v>1</v>
      </c>
      <c r="N727">
        <v>9</v>
      </c>
      <c r="O727">
        <v>4</v>
      </c>
    </row>
    <row r="728" spans="1:19">
      <c r="A728" t="s">
        <v>1021</v>
      </c>
      <c r="B728" t="s">
        <v>965</v>
      </c>
      <c r="C728">
        <v>8.9999999999999993E-3</v>
      </c>
      <c r="D728" t="s">
        <v>756</v>
      </c>
      <c r="E728" t="s">
        <v>968</v>
      </c>
      <c r="F728" t="s">
        <v>967</v>
      </c>
      <c r="G728" t="s">
        <v>961</v>
      </c>
      <c r="H728">
        <v>8.9999999999999993E-3</v>
      </c>
      <c r="J728">
        <v>106910437</v>
      </c>
      <c r="K728" s="2">
        <v>44656</v>
      </c>
      <c r="L728">
        <v>21</v>
      </c>
      <c r="M728">
        <v>1</v>
      </c>
      <c r="N728">
        <v>0</v>
      </c>
      <c r="O728">
        <v>1</v>
      </c>
      <c r="P728" t="s">
        <v>7</v>
      </c>
    </row>
    <row r="729" spans="1:19">
      <c r="A729" t="s">
        <v>1021</v>
      </c>
      <c r="B729" t="s">
        <v>968</v>
      </c>
      <c r="C729">
        <v>8.9999999999999993E-3</v>
      </c>
      <c r="D729" t="s">
        <v>6</v>
      </c>
      <c r="E729" t="s">
        <v>965</v>
      </c>
      <c r="F729" t="s">
        <v>1037</v>
      </c>
      <c r="G729" t="s">
        <v>968</v>
      </c>
      <c r="H729">
        <v>7.7409999999999997</v>
      </c>
      <c r="J729">
        <v>106909386</v>
      </c>
      <c r="K729" s="2">
        <v>44652</v>
      </c>
      <c r="L729">
        <v>28</v>
      </c>
      <c r="M729">
        <v>1</v>
      </c>
      <c r="N729">
        <v>0</v>
      </c>
      <c r="O729">
        <v>1</v>
      </c>
      <c r="P729" t="s">
        <v>3</v>
      </c>
    </row>
    <row r="730" spans="1:19">
      <c r="A730" t="s">
        <v>1021</v>
      </c>
      <c r="B730" t="s">
        <v>1142</v>
      </c>
      <c r="C730">
        <v>0</v>
      </c>
      <c r="E730" t="s">
        <v>965</v>
      </c>
      <c r="F730" t="s">
        <v>1040</v>
      </c>
      <c r="H730">
        <v>999.99900000000002</v>
      </c>
      <c r="J730">
        <v>106898333</v>
      </c>
      <c r="K730" s="2">
        <v>44642</v>
      </c>
      <c r="L730">
        <v>29</v>
      </c>
      <c r="M730">
        <v>1</v>
      </c>
      <c r="N730">
        <v>7</v>
      </c>
      <c r="O730">
        <v>1</v>
      </c>
      <c r="P730" t="s">
        <v>7</v>
      </c>
    </row>
    <row r="731" spans="1:19">
      <c r="A731" t="s">
        <v>1021</v>
      </c>
      <c r="B731" t="s">
        <v>965</v>
      </c>
      <c r="C731">
        <v>1.9E-2</v>
      </c>
      <c r="D731" t="s">
        <v>758</v>
      </c>
      <c r="E731" t="s">
        <v>968</v>
      </c>
      <c r="F731" t="s">
        <v>986</v>
      </c>
      <c r="G731" t="s">
        <v>962</v>
      </c>
      <c r="H731">
        <v>2.173</v>
      </c>
      <c r="J731">
        <v>108426283</v>
      </c>
      <c r="K731" s="2">
        <v>46091</v>
      </c>
      <c r="L731">
        <v>21</v>
      </c>
      <c r="M731">
        <v>1</v>
      </c>
      <c r="N731">
        <v>0</v>
      </c>
      <c r="O731">
        <v>1</v>
      </c>
      <c r="P731" t="s">
        <v>7</v>
      </c>
    </row>
    <row r="732" spans="1:19">
      <c r="A732" t="s">
        <v>754</v>
      </c>
      <c r="B732" t="s">
        <v>962</v>
      </c>
      <c r="C732">
        <v>0</v>
      </c>
      <c r="E732" t="s">
        <v>977</v>
      </c>
      <c r="F732" t="s">
        <v>968</v>
      </c>
      <c r="G732" t="s">
        <v>962</v>
      </c>
      <c r="H732">
        <v>1.988</v>
      </c>
      <c r="J732">
        <v>106912986</v>
      </c>
      <c r="K732" s="2">
        <v>44653</v>
      </c>
      <c r="L732">
        <v>21</v>
      </c>
      <c r="M732">
        <v>1</v>
      </c>
      <c r="N732">
        <v>0</v>
      </c>
      <c r="O732">
        <v>1</v>
      </c>
      <c r="P732" t="s">
        <v>7</v>
      </c>
    </row>
    <row r="733" spans="1:19">
      <c r="A733" t="s">
        <v>1021</v>
      </c>
      <c r="B733" t="s">
        <v>966</v>
      </c>
      <c r="C733">
        <v>0.09</v>
      </c>
      <c r="D733" t="s">
        <v>758</v>
      </c>
      <c r="E733" t="s">
        <v>1102</v>
      </c>
      <c r="F733" t="s">
        <v>1028</v>
      </c>
      <c r="H733">
        <v>999.99900000000002</v>
      </c>
      <c r="J733">
        <v>106912565</v>
      </c>
      <c r="K733" s="2">
        <v>44657</v>
      </c>
      <c r="L733">
        <v>21</v>
      </c>
      <c r="M733">
        <v>1</v>
      </c>
      <c r="N733">
        <v>0</v>
      </c>
      <c r="O733">
        <v>1</v>
      </c>
      <c r="P733" t="s">
        <v>7</v>
      </c>
    </row>
    <row r="734" spans="1:19">
      <c r="A734" t="s">
        <v>1021</v>
      </c>
      <c r="B734" t="s">
        <v>965</v>
      </c>
      <c r="C734">
        <v>0.151</v>
      </c>
      <c r="D734" t="s">
        <v>758</v>
      </c>
      <c r="E734" t="s">
        <v>1023</v>
      </c>
      <c r="F734" t="s">
        <v>1020</v>
      </c>
      <c r="G734" t="s">
        <v>961</v>
      </c>
      <c r="H734">
        <v>0.51400000000000001</v>
      </c>
      <c r="J734">
        <v>106871183</v>
      </c>
      <c r="K734" s="2">
        <v>44615</v>
      </c>
      <c r="L734">
        <v>17</v>
      </c>
      <c r="M734">
        <v>1</v>
      </c>
      <c r="N734">
        <v>0</v>
      </c>
      <c r="O734">
        <v>5</v>
      </c>
      <c r="P734" t="s">
        <v>7</v>
      </c>
    </row>
    <row r="735" spans="1:19">
      <c r="A735" t="s">
        <v>754</v>
      </c>
      <c r="B735" t="s">
        <v>968</v>
      </c>
      <c r="C735">
        <v>2E-3</v>
      </c>
      <c r="D735" t="s">
        <v>6</v>
      </c>
      <c r="E735" t="s">
        <v>962</v>
      </c>
      <c r="F735" t="s">
        <v>1024</v>
      </c>
      <c r="G735" t="s">
        <v>968</v>
      </c>
      <c r="H735">
        <v>7.7480000000000002</v>
      </c>
      <c r="J735">
        <v>106874645</v>
      </c>
      <c r="K735" s="2">
        <v>44619</v>
      </c>
      <c r="L735">
        <v>21</v>
      </c>
      <c r="M735">
        <v>2</v>
      </c>
      <c r="N735">
        <v>12</v>
      </c>
      <c r="O735">
        <v>1</v>
      </c>
      <c r="P735" t="s">
        <v>7</v>
      </c>
    </row>
    <row r="736" spans="1:19">
      <c r="A736" t="s">
        <v>1021</v>
      </c>
      <c r="B736" t="s">
        <v>964</v>
      </c>
      <c r="C736">
        <v>1.4E-2</v>
      </c>
      <c r="D736" t="s">
        <v>758</v>
      </c>
      <c r="E736" t="s">
        <v>967</v>
      </c>
      <c r="F736" t="s">
        <v>968</v>
      </c>
      <c r="G736" t="s">
        <v>960</v>
      </c>
      <c r="H736">
        <v>0.71299999999999997</v>
      </c>
      <c r="J736">
        <v>106842220</v>
      </c>
      <c r="K736" s="2">
        <v>44586</v>
      </c>
      <c r="L736">
        <v>24</v>
      </c>
      <c r="M736">
        <v>1</v>
      </c>
      <c r="N736">
        <v>0</v>
      </c>
      <c r="O736">
        <v>1</v>
      </c>
      <c r="P736" t="s">
        <v>7</v>
      </c>
    </row>
    <row r="737" spans="1:16">
      <c r="A737" t="s">
        <v>1021</v>
      </c>
      <c r="B737" t="s">
        <v>1143</v>
      </c>
      <c r="C737">
        <v>0</v>
      </c>
      <c r="D737" t="s">
        <v>6</v>
      </c>
      <c r="E737" t="s">
        <v>965</v>
      </c>
      <c r="F737" t="s">
        <v>1023</v>
      </c>
      <c r="G737" t="s">
        <v>965</v>
      </c>
      <c r="H737">
        <v>999.99900000000002</v>
      </c>
      <c r="J737">
        <v>106873684</v>
      </c>
      <c r="K737" s="2">
        <v>44619</v>
      </c>
      <c r="L737">
        <v>19</v>
      </c>
      <c r="M737">
        <v>2</v>
      </c>
      <c r="N737">
        <v>0</v>
      </c>
      <c r="O737">
        <v>1</v>
      </c>
      <c r="P737" t="s">
        <v>7</v>
      </c>
    </row>
    <row r="738" spans="1:16">
      <c r="A738" t="s">
        <v>1021</v>
      </c>
      <c r="B738" t="s">
        <v>965</v>
      </c>
      <c r="C738">
        <v>0</v>
      </c>
      <c r="E738" t="s">
        <v>968</v>
      </c>
      <c r="F738" t="s">
        <v>1144</v>
      </c>
      <c r="G738" t="s">
        <v>962</v>
      </c>
      <c r="H738">
        <v>2.1920000000000002</v>
      </c>
      <c r="J738">
        <v>106874915</v>
      </c>
      <c r="K738" s="2">
        <v>44620</v>
      </c>
      <c r="L738">
        <v>21</v>
      </c>
      <c r="M738">
        <v>1</v>
      </c>
      <c r="N738">
        <v>7</v>
      </c>
      <c r="O738">
        <v>1</v>
      </c>
      <c r="P738" t="s">
        <v>7</v>
      </c>
    </row>
    <row r="739" spans="1:16">
      <c r="A739" t="s">
        <v>1021</v>
      </c>
      <c r="B739" t="s">
        <v>965</v>
      </c>
      <c r="C739">
        <v>0</v>
      </c>
      <c r="E739" t="s">
        <v>1023</v>
      </c>
      <c r="F739" t="s">
        <v>1037</v>
      </c>
      <c r="G739" t="s">
        <v>961</v>
      </c>
      <c r="H739">
        <v>0.66500000000000004</v>
      </c>
      <c r="J739">
        <v>106868723</v>
      </c>
      <c r="K739" s="2">
        <v>44613</v>
      </c>
      <c r="L739">
        <v>30</v>
      </c>
      <c r="M739">
        <v>1</v>
      </c>
      <c r="N739">
        <v>7</v>
      </c>
      <c r="O739">
        <v>1</v>
      </c>
      <c r="P739" t="s">
        <v>7</v>
      </c>
    </row>
    <row r="740" spans="1:16">
      <c r="A740" t="s">
        <v>1021</v>
      </c>
      <c r="B740" t="s">
        <v>965</v>
      </c>
      <c r="C740">
        <v>0</v>
      </c>
      <c r="E740" t="s">
        <v>1032</v>
      </c>
      <c r="F740" t="s">
        <v>1033</v>
      </c>
      <c r="G740" t="s">
        <v>961</v>
      </c>
      <c r="H740">
        <v>1.843</v>
      </c>
      <c r="J740">
        <v>106805830</v>
      </c>
      <c r="K740" s="2">
        <v>44547</v>
      </c>
      <c r="L740">
        <v>21</v>
      </c>
      <c r="M740">
        <v>1</v>
      </c>
      <c r="N740">
        <v>7</v>
      </c>
      <c r="O740">
        <v>2</v>
      </c>
      <c r="P740" t="s">
        <v>7</v>
      </c>
    </row>
    <row r="741" spans="1:16">
      <c r="A741" t="s">
        <v>1021</v>
      </c>
      <c r="B741" t="s">
        <v>968</v>
      </c>
      <c r="C741">
        <v>0</v>
      </c>
      <c r="E741" t="s">
        <v>965</v>
      </c>
      <c r="F741" t="s">
        <v>964</v>
      </c>
      <c r="G741" t="s">
        <v>968</v>
      </c>
      <c r="H741">
        <v>7.75</v>
      </c>
      <c r="J741">
        <v>107719789</v>
      </c>
      <c r="K741" s="2">
        <v>45427</v>
      </c>
      <c r="L741">
        <v>26</v>
      </c>
      <c r="M741">
        <v>2</v>
      </c>
      <c r="N741">
        <v>7</v>
      </c>
      <c r="O741">
        <v>1</v>
      </c>
      <c r="P741" t="s">
        <v>7</v>
      </c>
    </row>
    <row r="742" spans="1:16">
      <c r="A742" t="s">
        <v>1021</v>
      </c>
      <c r="B742" t="s">
        <v>965</v>
      </c>
      <c r="C742">
        <v>2E-3</v>
      </c>
      <c r="D742" t="s">
        <v>756</v>
      </c>
      <c r="E742" t="s">
        <v>1023</v>
      </c>
      <c r="F742" t="s">
        <v>1039</v>
      </c>
      <c r="G742" t="s">
        <v>961</v>
      </c>
      <c r="H742">
        <v>0.66700000000000004</v>
      </c>
      <c r="J742">
        <v>106806043</v>
      </c>
      <c r="K742" s="2">
        <v>44547</v>
      </c>
      <c r="L742">
        <v>21</v>
      </c>
      <c r="M742">
        <v>1</v>
      </c>
      <c r="N742">
        <v>7</v>
      </c>
      <c r="O742">
        <v>4</v>
      </c>
      <c r="P742" t="s">
        <v>3</v>
      </c>
    </row>
    <row r="743" spans="1:16">
      <c r="A743" t="s">
        <v>1021</v>
      </c>
      <c r="B743" t="s">
        <v>965</v>
      </c>
      <c r="C743">
        <v>0.7</v>
      </c>
      <c r="D743" t="s">
        <v>756</v>
      </c>
      <c r="E743" t="s">
        <v>1039</v>
      </c>
      <c r="F743" t="s">
        <v>1064</v>
      </c>
      <c r="G743" t="s">
        <v>961</v>
      </c>
      <c r="H743">
        <v>1.5389999999999999</v>
      </c>
      <c r="J743">
        <v>107288100</v>
      </c>
      <c r="K743" s="2">
        <v>45015</v>
      </c>
      <c r="L743">
        <v>17</v>
      </c>
      <c r="M743">
        <v>1</v>
      </c>
      <c r="N743">
        <v>0</v>
      </c>
      <c r="O743">
        <v>1</v>
      </c>
      <c r="P743" t="s">
        <v>7</v>
      </c>
    </row>
    <row r="744" spans="1:16">
      <c r="A744" t="s">
        <v>1021</v>
      </c>
      <c r="B744" t="s">
        <v>1080</v>
      </c>
      <c r="C744">
        <v>0</v>
      </c>
      <c r="E744" t="s">
        <v>965</v>
      </c>
      <c r="F744" t="s">
        <v>1072</v>
      </c>
      <c r="G744" t="s">
        <v>968</v>
      </c>
      <c r="H744">
        <v>7.75</v>
      </c>
      <c r="J744">
        <v>106811655</v>
      </c>
      <c r="K744" s="2">
        <v>44552</v>
      </c>
      <c r="L744">
        <v>21</v>
      </c>
      <c r="M744">
        <v>1</v>
      </c>
      <c r="N744">
        <v>7</v>
      </c>
      <c r="O744">
        <v>4</v>
      </c>
      <c r="P744" t="s">
        <v>7</v>
      </c>
    </row>
    <row r="745" spans="1:16">
      <c r="A745" t="s">
        <v>1021</v>
      </c>
      <c r="B745" t="s">
        <v>965</v>
      </c>
      <c r="C745">
        <v>8.9999999999999993E-3</v>
      </c>
      <c r="D745" t="s">
        <v>758</v>
      </c>
      <c r="E745" t="s">
        <v>963</v>
      </c>
      <c r="F745" t="s">
        <v>968</v>
      </c>
      <c r="G745" t="s">
        <v>961</v>
      </c>
      <c r="H745">
        <v>0.20200000000000001</v>
      </c>
      <c r="J745">
        <v>106812334</v>
      </c>
      <c r="K745" s="2">
        <v>44553</v>
      </c>
      <c r="L745">
        <v>24</v>
      </c>
      <c r="M745">
        <v>1</v>
      </c>
      <c r="N745">
        <v>0</v>
      </c>
      <c r="O745">
        <v>1</v>
      </c>
      <c r="P745" t="s">
        <v>7</v>
      </c>
    </row>
    <row r="746" spans="1:16">
      <c r="A746" t="s">
        <v>1021</v>
      </c>
      <c r="B746" t="s">
        <v>968</v>
      </c>
      <c r="C746">
        <v>0</v>
      </c>
      <c r="E746" t="s">
        <v>962</v>
      </c>
      <c r="F746" t="s">
        <v>963</v>
      </c>
      <c r="G746" t="s">
        <v>968</v>
      </c>
      <c r="H746">
        <v>7.75</v>
      </c>
      <c r="J746">
        <v>106851959</v>
      </c>
      <c r="K746" s="2">
        <v>44595</v>
      </c>
      <c r="L746">
        <v>25</v>
      </c>
      <c r="M746">
        <v>1</v>
      </c>
      <c r="N746">
        <v>7</v>
      </c>
      <c r="O746">
        <v>1</v>
      </c>
      <c r="P746" t="s">
        <v>7</v>
      </c>
    </row>
    <row r="747" spans="1:16">
      <c r="A747" t="s">
        <v>1021</v>
      </c>
      <c r="B747" t="s">
        <v>968</v>
      </c>
      <c r="C747">
        <v>0</v>
      </c>
      <c r="E747" t="s">
        <v>963</v>
      </c>
      <c r="F747" t="s">
        <v>965</v>
      </c>
      <c r="G747" t="s">
        <v>968</v>
      </c>
      <c r="H747">
        <v>7.5890000000000004</v>
      </c>
      <c r="J747">
        <v>106805656</v>
      </c>
      <c r="K747" s="2">
        <v>44546</v>
      </c>
      <c r="L747">
        <v>21</v>
      </c>
      <c r="M747">
        <v>1</v>
      </c>
      <c r="N747">
        <v>8</v>
      </c>
      <c r="O747">
        <v>1</v>
      </c>
      <c r="P747" t="s">
        <v>7</v>
      </c>
    </row>
    <row r="748" spans="1:16">
      <c r="A748" t="s">
        <v>1021</v>
      </c>
      <c r="B748" t="s">
        <v>967</v>
      </c>
      <c r="C748">
        <v>0</v>
      </c>
      <c r="E748" t="s">
        <v>1145</v>
      </c>
      <c r="F748" t="s">
        <v>968</v>
      </c>
      <c r="H748">
        <v>999.99900000000002</v>
      </c>
      <c r="J748">
        <v>107000890</v>
      </c>
      <c r="K748" s="2">
        <v>44740</v>
      </c>
      <c r="L748">
        <v>30</v>
      </c>
      <c r="M748">
        <v>1</v>
      </c>
      <c r="N748">
        <v>7</v>
      </c>
      <c r="O748">
        <v>1</v>
      </c>
      <c r="P748" t="s">
        <v>3</v>
      </c>
    </row>
    <row r="749" spans="1:16">
      <c r="A749" t="s">
        <v>1021</v>
      </c>
      <c r="B749" t="s">
        <v>965</v>
      </c>
      <c r="C749">
        <v>0.09</v>
      </c>
      <c r="D749" t="s">
        <v>758</v>
      </c>
      <c r="E749" t="s">
        <v>967</v>
      </c>
      <c r="F749" t="s">
        <v>968</v>
      </c>
      <c r="G749" t="s">
        <v>961</v>
      </c>
      <c r="H749">
        <v>0.121</v>
      </c>
      <c r="J749">
        <v>106850905</v>
      </c>
      <c r="K749" s="2">
        <v>44595</v>
      </c>
      <c r="L749">
        <v>30</v>
      </c>
      <c r="M749">
        <v>1</v>
      </c>
      <c r="N749">
        <v>8</v>
      </c>
      <c r="O749">
        <v>1</v>
      </c>
      <c r="P749" t="s">
        <v>7</v>
      </c>
    </row>
    <row r="750" spans="1:16">
      <c r="A750" t="s">
        <v>1021</v>
      </c>
      <c r="B750" t="s">
        <v>964</v>
      </c>
      <c r="C750">
        <v>0.01</v>
      </c>
      <c r="D750" t="s">
        <v>763</v>
      </c>
      <c r="E750" t="s">
        <v>966</v>
      </c>
      <c r="F750" t="s">
        <v>968</v>
      </c>
      <c r="G750" t="s">
        <v>960</v>
      </c>
      <c r="H750">
        <v>0.71699999999999997</v>
      </c>
      <c r="J750">
        <v>106825139</v>
      </c>
      <c r="K750" s="2">
        <v>44567</v>
      </c>
      <c r="L750">
        <v>30</v>
      </c>
      <c r="M750">
        <v>1</v>
      </c>
      <c r="N750">
        <v>8</v>
      </c>
      <c r="O750">
        <v>1</v>
      </c>
      <c r="P750" t="s">
        <v>7</v>
      </c>
    </row>
    <row r="751" spans="1:16">
      <c r="A751" t="s">
        <v>1021</v>
      </c>
      <c r="B751" t="s">
        <v>964</v>
      </c>
      <c r="C751">
        <v>2.9000000000000001E-2</v>
      </c>
      <c r="D751" t="s">
        <v>6</v>
      </c>
      <c r="E751" t="s">
        <v>1058</v>
      </c>
      <c r="F751" t="s">
        <v>967</v>
      </c>
      <c r="G751" t="s">
        <v>964</v>
      </c>
      <c r="H751">
        <v>999.99900000000002</v>
      </c>
      <c r="J751">
        <v>106849372</v>
      </c>
      <c r="K751" s="2">
        <v>44594</v>
      </c>
      <c r="L751">
        <v>28</v>
      </c>
      <c r="M751">
        <v>1</v>
      </c>
      <c r="N751">
        <v>0</v>
      </c>
      <c r="O751">
        <v>1</v>
      </c>
      <c r="P751" t="s">
        <v>7</v>
      </c>
    </row>
    <row r="752" spans="1:16">
      <c r="A752" t="s">
        <v>1021</v>
      </c>
      <c r="B752" t="s">
        <v>961</v>
      </c>
      <c r="C752">
        <v>0</v>
      </c>
      <c r="E752" t="s">
        <v>975</v>
      </c>
      <c r="F752" t="s">
        <v>968</v>
      </c>
      <c r="G752" t="s">
        <v>961</v>
      </c>
      <c r="H752">
        <v>999.99900000000002</v>
      </c>
      <c r="J752">
        <v>106889359</v>
      </c>
      <c r="K752" s="2">
        <v>44621</v>
      </c>
      <c r="L752">
        <v>21</v>
      </c>
      <c r="M752">
        <v>1</v>
      </c>
      <c r="N752">
        <v>8</v>
      </c>
      <c r="O752">
        <v>1</v>
      </c>
      <c r="P752" t="s">
        <v>7</v>
      </c>
    </row>
    <row r="753" spans="1:16">
      <c r="A753" t="s">
        <v>1021</v>
      </c>
      <c r="B753" t="s">
        <v>1052</v>
      </c>
      <c r="C753">
        <v>3.0000000000000001E-3</v>
      </c>
      <c r="D753" t="s">
        <v>757</v>
      </c>
      <c r="E753" t="s">
        <v>965</v>
      </c>
      <c r="F753" t="s">
        <v>1053</v>
      </c>
      <c r="H753">
        <v>999.99900000000002</v>
      </c>
      <c r="J753">
        <v>106892028</v>
      </c>
      <c r="K753" s="2">
        <v>44633</v>
      </c>
      <c r="L753">
        <v>20</v>
      </c>
      <c r="M753">
        <v>10</v>
      </c>
      <c r="N753">
        <v>0</v>
      </c>
      <c r="O753">
        <v>8</v>
      </c>
    </row>
    <row r="754" spans="1:16">
      <c r="A754" t="s">
        <v>1021</v>
      </c>
      <c r="B754" t="s">
        <v>1023</v>
      </c>
      <c r="C754">
        <v>0</v>
      </c>
      <c r="E754" t="s">
        <v>965</v>
      </c>
      <c r="F754" t="s">
        <v>1037</v>
      </c>
      <c r="G754" t="s">
        <v>961</v>
      </c>
      <c r="H754">
        <v>0.66500000000000004</v>
      </c>
      <c r="J754">
        <v>106883178</v>
      </c>
      <c r="K754" s="2">
        <v>44628</v>
      </c>
      <c r="L754">
        <v>28</v>
      </c>
      <c r="M754">
        <v>2</v>
      </c>
      <c r="N754">
        <v>7</v>
      </c>
      <c r="O754">
        <v>2</v>
      </c>
      <c r="P754" t="s">
        <v>7</v>
      </c>
    </row>
    <row r="755" spans="1:16">
      <c r="A755" t="s">
        <v>1021</v>
      </c>
      <c r="B755" t="s">
        <v>965</v>
      </c>
      <c r="C755">
        <v>3.0000000000000001E-3</v>
      </c>
      <c r="D755" t="s">
        <v>758</v>
      </c>
      <c r="E755" t="s">
        <v>1054</v>
      </c>
      <c r="F755" t="s">
        <v>1052</v>
      </c>
      <c r="G755" t="s">
        <v>961</v>
      </c>
      <c r="H755">
        <v>1.72</v>
      </c>
      <c r="J755">
        <v>107394861</v>
      </c>
      <c r="K755" s="2">
        <v>45120</v>
      </c>
      <c r="L755">
        <v>28</v>
      </c>
      <c r="M755">
        <v>1</v>
      </c>
      <c r="N755">
        <v>2</v>
      </c>
      <c r="O755">
        <v>1</v>
      </c>
      <c r="P755" t="s">
        <v>7</v>
      </c>
    </row>
    <row r="756" spans="1:16">
      <c r="A756" t="s">
        <v>1021</v>
      </c>
      <c r="B756" t="s">
        <v>968</v>
      </c>
      <c r="C756">
        <v>0</v>
      </c>
      <c r="E756" t="s">
        <v>965</v>
      </c>
      <c r="F756" t="s">
        <v>963</v>
      </c>
      <c r="G756" t="s">
        <v>968</v>
      </c>
      <c r="H756">
        <v>7.75</v>
      </c>
      <c r="J756">
        <v>106931954</v>
      </c>
      <c r="K756" s="2">
        <v>44676</v>
      </c>
      <c r="L756">
        <v>30</v>
      </c>
      <c r="M756">
        <v>1</v>
      </c>
      <c r="N756">
        <v>7</v>
      </c>
      <c r="O756">
        <v>1</v>
      </c>
      <c r="P756" t="s">
        <v>7</v>
      </c>
    </row>
    <row r="757" spans="1:16">
      <c r="A757" t="s">
        <v>1021</v>
      </c>
      <c r="B757" t="s">
        <v>1146</v>
      </c>
      <c r="C757">
        <v>0.01</v>
      </c>
      <c r="D757" t="s">
        <v>758</v>
      </c>
      <c r="E757" t="s">
        <v>967</v>
      </c>
      <c r="F757" t="s">
        <v>968</v>
      </c>
      <c r="H757">
        <v>999.99900000000002</v>
      </c>
      <c r="J757">
        <v>107288114</v>
      </c>
      <c r="K757" s="2">
        <v>45014</v>
      </c>
      <c r="L757">
        <v>23</v>
      </c>
      <c r="M757">
        <v>1</v>
      </c>
      <c r="N757">
        <v>8</v>
      </c>
      <c r="O757">
        <v>1</v>
      </c>
      <c r="P757" t="s">
        <v>7</v>
      </c>
    </row>
    <row r="758" spans="1:16">
      <c r="A758" t="s">
        <v>1021</v>
      </c>
      <c r="B758" t="s">
        <v>965</v>
      </c>
      <c r="C758">
        <v>0</v>
      </c>
      <c r="E758" t="s">
        <v>967</v>
      </c>
      <c r="F758" t="s">
        <v>968</v>
      </c>
      <c r="G758" t="s">
        <v>961</v>
      </c>
      <c r="H758">
        <v>0.21099999999999999</v>
      </c>
      <c r="J758">
        <v>106907157</v>
      </c>
      <c r="K758" s="2">
        <v>44652</v>
      </c>
      <c r="L758">
        <v>30</v>
      </c>
      <c r="M758">
        <v>1</v>
      </c>
      <c r="N758">
        <v>7</v>
      </c>
      <c r="O758">
        <v>1</v>
      </c>
      <c r="P758" t="s">
        <v>7</v>
      </c>
    </row>
    <row r="759" spans="1:16">
      <c r="A759" t="s">
        <v>1021</v>
      </c>
      <c r="B759" t="s">
        <v>965</v>
      </c>
      <c r="C759">
        <v>3.7999999999999999E-2</v>
      </c>
      <c r="D759" t="s">
        <v>765</v>
      </c>
      <c r="E759" t="s">
        <v>1023</v>
      </c>
      <c r="F759" t="s">
        <v>1020</v>
      </c>
      <c r="G759" t="s">
        <v>961</v>
      </c>
      <c r="H759">
        <v>0.627</v>
      </c>
      <c r="J759">
        <v>107819536</v>
      </c>
      <c r="K759" s="2">
        <v>45519</v>
      </c>
      <c r="L759">
        <v>28</v>
      </c>
      <c r="M759">
        <v>1</v>
      </c>
      <c r="N759">
        <v>0</v>
      </c>
      <c r="O759">
        <v>1</v>
      </c>
      <c r="P759" t="s">
        <v>7</v>
      </c>
    </row>
    <row r="760" spans="1:16">
      <c r="A760" t="s">
        <v>1021</v>
      </c>
      <c r="B760" t="s">
        <v>968</v>
      </c>
      <c r="C760">
        <v>0</v>
      </c>
      <c r="E760" t="s">
        <v>965</v>
      </c>
      <c r="F760" t="s">
        <v>1072</v>
      </c>
      <c r="G760" t="s">
        <v>968</v>
      </c>
      <c r="H760">
        <v>7.75</v>
      </c>
      <c r="J760">
        <v>106906416</v>
      </c>
      <c r="K760" s="2">
        <v>44650</v>
      </c>
      <c r="L760">
        <v>21</v>
      </c>
      <c r="M760">
        <v>1</v>
      </c>
      <c r="N760">
        <v>7</v>
      </c>
      <c r="O760">
        <v>1</v>
      </c>
      <c r="P760" t="s">
        <v>7</v>
      </c>
    </row>
    <row r="761" spans="1:16">
      <c r="A761" t="s">
        <v>1021</v>
      </c>
      <c r="B761" t="s">
        <v>965</v>
      </c>
      <c r="C761">
        <v>0.224</v>
      </c>
      <c r="D761" t="s">
        <v>758</v>
      </c>
      <c r="E761" t="s">
        <v>967</v>
      </c>
      <c r="F761" t="s">
        <v>968</v>
      </c>
      <c r="G761" t="s">
        <v>962</v>
      </c>
      <c r="H761">
        <v>2.1789999999999998</v>
      </c>
      <c r="J761">
        <v>106937847</v>
      </c>
      <c r="K761" s="2">
        <v>44680</v>
      </c>
      <c r="L761">
        <v>21</v>
      </c>
      <c r="M761">
        <v>1</v>
      </c>
      <c r="N761">
        <v>0</v>
      </c>
      <c r="O761">
        <v>1</v>
      </c>
      <c r="P761" t="s">
        <v>7</v>
      </c>
    </row>
    <row r="762" spans="1:16">
      <c r="A762" t="s">
        <v>1021</v>
      </c>
      <c r="B762" t="s">
        <v>965</v>
      </c>
      <c r="C762">
        <v>4.7E-2</v>
      </c>
      <c r="D762" t="s">
        <v>756</v>
      </c>
      <c r="E762" t="s">
        <v>1064</v>
      </c>
      <c r="F762" t="s">
        <v>1056</v>
      </c>
      <c r="G762" t="s">
        <v>961</v>
      </c>
      <c r="H762">
        <v>1.452</v>
      </c>
      <c r="J762">
        <v>107502104</v>
      </c>
      <c r="K762" s="2">
        <v>45224</v>
      </c>
      <c r="L762">
        <v>28</v>
      </c>
      <c r="M762">
        <v>1</v>
      </c>
      <c r="N762">
        <v>0</v>
      </c>
      <c r="O762">
        <v>3</v>
      </c>
      <c r="P762" t="s">
        <v>7</v>
      </c>
    </row>
    <row r="763" spans="1:16">
      <c r="A763" t="s">
        <v>1021</v>
      </c>
      <c r="B763" t="s">
        <v>966</v>
      </c>
      <c r="C763">
        <v>4.1000000000000002E-2</v>
      </c>
      <c r="D763" t="s">
        <v>6</v>
      </c>
      <c r="E763" t="s">
        <v>1147</v>
      </c>
      <c r="F763" t="s">
        <v>1050</v>
      </c>
      <c r="H763">
        <v>999.99900000000002</v>
      </c>
      <c r="J763">
        <v>105240099</v>
      </c>
      <c r="K763" s="2">
        <v>43001</v>
      </c>
      <c r="L763">
        <v>1</v>
      </c>
      <c r="M763">
        <v>1</v>
      </c>
      <c r="N763">
        <v>0</v>
      </c>
      <c r="O763">
        <v>1</v>
      </c>
      <c r="P763" t="s">
        <v>3</v>
      </c>
    </row>
    <row r="764" spans="1:16">
      <c r="A764" t="s">
        <v>1021</v>
      </c>
      <c r="B764" t="s">
        <v>964</v>
      </c>
      <c r="C764">
        <v>0</v>
      </c>
      <c r="E764" t="s">
        <v>1048</v>
      </c>
      <c r="F764" t="s">
        <v>967</v>
      </c>
      <c r="G764" t="s">
        <v>964</v>
      </c>
      <c r="H764">
        <v>999.99900000000002</v>
      </c>
      <c r="J764">
        <v>106961664</v>
      </c>
      <c r="K764" s="2">
        <v>44701</v>
      </c>
      <c r="L764">
        <v>30</v>
      </c>
      <c r="M764">
        <v>1</v>
      </c>
      <c r="N764">
        <v>9</v>
      </c>
      <c r="O764">
        <v>1</v>
      </c>
      <c r="P764" t="s">
        <v>3</v>
      </c>
    </row>
    <row r="765" spans="1:16">
      <c r="A765" t="s">
        <v>1021</v>
      </c>
      <c r="B765" t="s">
        <v>965</v>
      </c>
      <c r="C765">
        <v>2.3E-2</v>
      </c>
      <c r="D765" t="s">
        <v>756</v>
      </c>
      <c r="E765" t="s">
        <v>1023</v>
      </c>
      <c r="F765" t="s">
        <v>1148</v>
      </c>
      <c r="G765" t="s">
        <v>961</v>
      </c>
      <c r="H765">
        <v>0.68799999999999994</v>
      </c>
      <c r="J765">
        <v>107203019</v>
      </c>
      <c r="K765" s="2">
        <v>44929</v>
      </c>
      <c r="L765">
        <v>28</v>
      </c>
      <c r="M765">
        <v>2</v>
      </c>
      <c r="N765">
        <v>0</v>
      </c>
      <c r="O765">
        <v>4</v>
      </c>
      <c r="P765" t="s">
        <v>7</v>
      </c>
    </row>
    <row r="766" spans="1:16">
      <c r="A766" t="s">
        <v>1021</v>
      </c>
      <c r="B766" t="s">
        <v>965</v>
      </c>
      <c r="C766">
        <v>2E-3</v>
      </c>
      <c r="D766" t="s">
        <v>756</v>
      </c>
      <c r="E766" t="s">
        <v>1056</v>
      </c>
      <c r="F766" t="s">
        <v>1064</v>
      </c>
      <c r="G766" t="s">
        <v>961</v>
      </c>
      <c r="H766">
        <v>1.2789999999999999</v>
      </c>
      <c r="J766">
        <v>107204125</v>
      </c>
      <c r="K766" s="2">
        <v>44932</v>
      </c>
      <c r="L766">
        <v>21</v>
      </c>
      <c r="M766">
        <v>1</v>
      </c>
      <c r="N766">
        <v>0</v>
      </c>
      <c r="O766">
        <v>1</v>
      </c>
      <c r="P766" t="s">
        <v>7</v>
      </c>
    </row>
    <row r="767" spans="1:16">
      <c r="A767" t="s">
        <v>1021</v>
      </c>
      <c r="B767" t="s">
        <v>968</v>
      </c>
      <c r="C767">
        <v>0</v>
      </c>
      <c r="E767" t="s">
        <v>965</v>
      </c>
      <c r="F767" t="s">
        <v>963</v>
      </c>
      <c r="G767" t="s">
        <v>968</v>
      </c>
      <c r="H767">
        <v>7.75</v>
      </c>
      <c r="J767">
        <v>106968039</v>
      </c>
      <c r="K767" s="2">
        <v>44705</v>
      </c>
      <c r="L767">
        <v>21</v>
      </c>
      <c r="M767">
        <v>1</v>
      </c>
      <c r="N767">
        <v>7</v>
      </c>
      <c r="O767">
        <v>1</v>
      </c>
      <c r="P767" t="s">
        <v>7</v>
      </c>
    </row>
    <row r="768" spans="1:16">
      <c r="A768" t="s">
        <v>1021</v>
      </c>
      <c r="B768" t="s">
        <v>965</v>
      </c>
      <c r="C768">
        <v>6.6000000000000003E-2</v>
      </c>
      <c r="D768" t="s">
        <v>756</v>
      </c>
      <c r="E768" t="s">
        <v>968</v>
      </c>
      <c r="F768" t="s">
        <v>963</v>
      </c>
      <c r="G768" t="s">
        <v>961</v>
      </c>
      <c r="H768">
        <v>6.6000000000000003E-2</v>
      </c>
      <c r="J768">
        <v>106961672</v>
      </c>
      <c r="K768" s="2">
        <v>44701</v>
      </c>
      <c r="L768">
        <v>28</v>
      </c>
      <c r="M768">
        <v>1</v>
      </c>
      <c r="N768">
        <v>0</v>
      </c>
      <c r="O768">
        <v>1</v>
      </c>
      <c r="P768" t="s">
        <v>7</v>
      </c>
    </row>
    <row r="769" spans="1:16">
      <c r="A769" t="s">
        <v>1021</v>
      </c>
      <c r="B769" t="s">
        <v>965</v>
      </c>
      <c r="C769">
        <v>0</v>
      </c>
      <c r="D769" t="s">
        <v>764</v>
      </c>
      <c r="E769" t="s">
        <v>1035</v>
      </c>
      <c r="F769" t="s">
        <v>1033</v>
      </c>
      <c r="G769" t="s">
        <v>961</v>
      </c>
      <c r="H769">
        <v>1.893</v>
      </c>
      <c r="J769">
        <v>107017648</v>
      </c>
      <c r="K769" s="2">
        <v>44759</v>
      </c>
      <c r="L769">
        <v>2</v>
      </c>
      <c r="M769">
        <v>1</v>
      </c>
      <c r="N769">
        <v>7</v>
      </c>
      <c r="O769">
        <v>1</v>
      </c>
      <c r="P769" t="s">
        <v>8</v>
      </c>
    </row>
    <row r="770" spans="1:16">
      <c r="A770" t="s">
        <v>1021</v>
      </c>
      <c r="B770" t="s">
        <v>965</v>
      </c>
      <c r="C770">
        <v>2.8000000000000001E-2</v>
      </c>
      <c r="D770" t="s">
        <v>758</v>
      </c>
      <c r="E770" t="s">
        <v>1035</v>
      </c>
      <c r="F770" t="s">
        <v>1032</v>
      </c>
      <c r="G770" t="s">
        <v>961</v>
      </c>
      <c r="H770">
        <v>1.865</v>
      </c>
      <c r="J770">
        <v>108339173</v>
      </c>
      <c r="K770" s="2">
        <v>46007</v>
      </c>
      <c r="L770">
        <v>21</v>
      </c>
      <c r="M770">
        <v>1</v>
      </c>
      <c r="N770">
        <v>0</v>
      </c>
      <c r="O770">
        <v>1</v>
      </c>
      <c r="P770" t="s">
        <v>7</v>
      </c>
    </row>
    <row r="771" spans="1:16">
      <c r="A771" t="s">
        <v>1021</v>
      </c>
      <c r="B771" t="s">
        <v>965</v>
      </c>
      <c r="C771">
        <v>0.01</v>
      </c>
      <c r="D771" t="s">
        <v>756</v>
      </c>
      <c r="E771" t="s">
        <v>967</v>
      </c>
      <c r="F771" t="s">
        <v>968</v>
      </c>
      <c r="G771" t="s">
        <v>961</v>
      </c>
      <c r="H771">
        <v>0.221</v>
      </c>
      <c r="J771">
        <v>107004020</v>
      </c>
      <c r="K771" s="2">
        <v>44742</v>
      </c>
      <c r="L771">
        <v>21</v>
      </c>
      <c r="M771">
        <v>1</v>
      </c>
      <c r="N771">
        <v>0</v>
      </c>
      <c r="O771">
        <v>1</v>
      </c>
      <c r="P771" t="s">
        <v>7</v>
      </c>
    </row>
    <row r="772" spans="1:16">
      <c r="A772" t="s">
        <v>1021</v>
      </c>
      <c r="B772" t="s">
        <v>968</v>
      </c>
      <c r="C772">
        <v>8.9999999999999993E-3</v>
      </c>
      <c r="D772" t="s">
        <v>757</v>
      </c>
      <c r="E772" t="s">
        <v>963</v>
      </c>
      <c r="F772" t="s">
        <v>965</v>
      </c>
      <c r="G772" t="s">
        <v>968</v>
      </c>
      <c r="H772">
        <v>7.5979999999999999</v>
      </c>
      <c r="J772">
        <v>106969127</v>
      </c>
      <c r="K772" s="2">
        <v>44708</v>
      </c>
      <c r="L772">
        <v>21</v>
      </c>
      <c r="M772">
        <v>2</v>
      </c>
      <c r="N772">
        <v>0</v>
      </c>
      <c r="O772">
        <v>1</v>
      </c>
      <c r="P772" t="s">
        <v>7</v>
      </c>
    </row>
    <row r="773" spans="1:16">
      <c r="A773" t="s">
        <v>1021</v>
      </c>
      <c r="B773" t="s">
        <v>964</v>
      </c>
      <c r="C773">
        <v>0.54</v>
      </c>
      <c r="D773" t="s">
        <v>758</v>
      </c>
      <c r="E773" t="s">
        <v>967</v>
      </c>
      <c r="F773" t="s">
        <v>968</v>
      </c>
      <c r="G773" t="s">
        <v>960</v>
      </c>
      <c r="H773">
        <v>0.187</v>
      </c>
      <c r="J773">
        <v>106975815</v>
      </c>
      <c r="K773" s="2">
        <v>44713</v>
      </c>
      <c r="L773">
        <v>21</v>
      </c>
      <c r="M773">
        <v>1</v>
      </c>
      <c r="N773">
        <v>0</v>
      </c>
      <c r="O773">
        <v>1</v>
      </c>
      <c r="P773" t="s">
        <v>7</v>
      </c>
    </row>
    <row r="774" spans="1:16">
      <c r="A774" t="s">
        <v>1021</v>
      </c>
      <c r="B774" t="s">
        <v>1149</v>
      </c>
      <c r="C774">
        <v>2.3E-2</v>
      </c>
      <c r="D774" t="s">
        <v>764</v>
      </c>
      <c r="E774" t="s">
        <v>965</v>
      </c>
      <c r="F774" t="s">
        <v>1071</v>
      </c>
      <c r="H774">
        <v>999.99900000000002</v>
      </c>
      <c r="J774">
        <v>107004126</v>
      </c>
      <c r="K774" s="2">
        <v>44743</v>
      </c>
      <c r="L774">
        <v>31</v>
      </c>
      <c r="M774">
        <v>2</v>
      </c>
      <c r="N774">
        <v>0</v>
      </c>
      <c r="O774">
        <v>1</v>
      </c>
      <c r="P774" t="s">
        <v>7</v>
      </c>
    </row>
    <row r="775" spans="1:16">
      <c r="A775" t="s">
        <v>1021</v>
      </c>
      <c r="B775" t="s">
        <v>965</v>
      </c>
      <c r="C775">
        <v>1.9E-2</v>
      </c>
      <c r="D775" t="s">
        <v>758</v>
      </c>
      <c r="E775" t="s">
        <v>1032</v>
      </c>
      <c r="F775" t="s">
        <v>1054</v>
      </c>
      <c r="G775" t="s">
        <v>961</v>
      </c>
      <c r="H775">
        <v>1.8240000000000001</v>
      </c>
      <c r="J775">
        <v>106980804</v>
      </c>
      <c r="K775" s="2">
        <v>44719</v>
      </c>
      <c r="L775">
        <v>30</v>
      </c>
      <c r="M775">
        <v>1</v>
      </c>
      <c r="N775">
        <v>8</v>
      </c>
      <c r="O775">
        <v>1</v>
      </c>
      <c r="P775" t="s">
        <v>7</v>
      </c>
    </row>
    <row r="776" spans="1:16">
      <c r="A776" t="s">
        <v>1021</v>
      </c>
      <c r="B776" t="s">
        <v>965</v>
      </c>
      <c r="C776">
        <v>0</v>
      </c>
      <c r="E776" t="s">
        <v>979</v>
      </c>
      <c r="F776" t="s">
        <v>1054</v>
      </c>
      <c r="G776" t="s">
        <v>961</v>
      </c>
      <c r="H776">
        <v>1.5960000000000001</v>
      </c>
      <c r="J776">
        <v>107011023</v>
      </c>
      <c r="K776" s="2">
        <v>44752</v>
      </c>
      <c r="L776">
        <v>21</v>
      </c>
      <c r="M776">
        <v>2</v>
      </c>
      <c r="N776">
        <v>7</v>
      </c>
      <c r="O776">
        <v>1</v>
      </c>
      <c r="P776" t="s">
        <v>7</v>
      </c>
    </row>
    <row r="777" spans="1:16">
      <c r="A777" t="s">
        <v>1021</v>
      </c>
      <c r="B777" t="s">
        <v>965</v>
      </c>
      <c r="C777">
        <v>0</v>
      </c>
      <c r="E777" t="s">
        <v>1022</v>
      </c>
      <c r="F777" t="s">
        <v>968</v>
      </c>
      <c r="G777" t="s">
        <v>961</v>
      </c>
      <c r="H777">
        <v>0.21099999999999999</v>
      </c>
      <c r="J777">
        <v>106969091</v>
      </c>
      <c r="K777" s="2">
        <v>44707</v>
      </c>
      <c r="L777">
        <v>30</v>
      </c>
      <c r="M777">
        <v>1</v>
      </c>
      <c r="N777">
        <v>8</v>
      </c>
      <c r="O777">
        <v>1</v>
      </c>
      <c r="P777" t="s">
        <v>7</v>
      </c>
    </row>
    <row r="778" spans="1:16">
      <c r="A778" t="s">
        <v>1021</v>
      </c>
      <c r="B778" t="s">
        <v>1150</v>
      </c>
      <c r="C778">
        <v>4.0000000000000001E-3</v>
      </c>
      <c r="D778" t="s">
        <v>6</v>
      </c>
      <c r="E778" t="s">
        <v>965</v>
      </c>
      <c r="H778">
        <v>999.99900000000002</v>
      </c>
      <c r="J778">
        <v>108586879</v>
      </c>
      <c r="K778" s="2">
        <v>46245</v>
      </c>
      <c r="L778">
        <v>20</v>
      </c>
      <c r="M778">
        <v>1</v>
      </c>
      <c r="N778">
        <v>0</v>
      </c>
      <c r="O778">
        <v>1</v>
      </c>
    </row>
    <row r="779" spans="1:16">
      <c r="A779" t="s">
        <v>1021</v>
      </c>
      <c r="B779" t="s">
        <v>1151</v>
      </c>
      <c r="C779">
        <v>0</v>
      </c>
      <c r="E779" t="s">
        <v>962</v>
      </c>
      <c r="F779" t="s">
        <v>968</v>
      </c>
      <c r="G779" t="s">
        <v>1151</v>
      </c>
      <c r="H779">
        <v>999.99900000000002</v>
      </c>
      <c r="J779">
        <v>106976431</v>
      </c>
      <c r="K779" s="2">
        <v>44714</v>
      </c>
      <c r="L779">
        <v>21</v>
      </c>
      <c r="M779">
        <v>1</v>
      </c>
      <c r="N779">
        <v>0</v>
      </c>
      <c r="O779">
        <v>1</v>
      </c>
      <c r="P779" t="s">
        <v>3</v>
      </c>
    </row>
    <row r="780" spans="1:16">
      <c r="A780" t="s">
        <v>1021</v>
      </c>
      <c r="B780" t="s">
        <v>966</v>
      </c>
      <c r="C780">
        <v>0.16</v>
      </c>
      <c r="D780" t="s">
        <v>764</v>
      </c>
      <c r="E780" t="s">
        <v>967</v>
      </c>
      <c r="F780" t="s">
        <v>1028</v>
      </c>
      <c r="H780">
        <v>999.99900000000002</v>
      </c>
      <c r="J780">
        <v>107009267</v>
      </c>
      <c r="K780" s="2">
        <v>44749</v>
      </c>
      <c r="L780">
        <v>18</v>
      </c>
      <c r="M780">
        <v>1</v>
      </c>
      <c r="N780">
        <v>0</v>
      </c>
      <c r="O780">
        <v>5</v>
      </c>
      <c r="P780" t="s">
        <v>3</v>
      </c>
    </row>
    <row r="781" spans="1:16">
      <c r="A781" t="s">
        <v>1021</v>
      </c>
      <c r="B781" t="s">
        <v>968</v>
      </c>
      <c r="C781">
        <v>0</v>
      </c>
      <c r="E781" t="s">
        <v>965</v>
      </c>
      <c r="F781" t="s">
        <v>1037</v>
      </c>
      <c r="G781" t="s">
        <v>968</v>
      </c>
      <c r="H781">
        <v>7.75</v>
      </c>
      <c r="J781">
        <v>107011467</v>
      </c>
      <c r="K781" s="2">
        <v>44752</v>
      </c>
      <c r="L781">
        <v>21</v>
      </c>
      <c r="M781">
        <v>2</v>
      </c>
      <c r="N781">
        <v>7</v>
      </c>
      <c r="O781">
        <v>1</v>
      </c>
      <c r="P781" t="s">
        <v>7</v>
      </c>
    </row>
    <row r="782" spans="1:16">
      <c r="A782" t="s">
        <v>1021</v>
      </c>
      <c r="B782" t="s">
        <v>965</v>
      </c>
      <c r="C782">
        <v>0.1</v>
      </c>
      <c r="D782" t="s">
        <v>756</v>
      </c>
      <c r="E782" t="s">
        <v>1072</v>
      </c>
      <c r="F782" t="s">
        <v>968</v>
      </c>
      <c r="G782" t="s">
        <v>965</v>
      </c>
      <c r="H782">
        <v>999.99900000000002</v>
      </c>
      <c r="J782">
        <v>107020381</v>
      </c>
      <c r="K782" s="2">
        <v>44761</v>
      </c>
      <c r="L782">
        <v>21</v>
      </c>
      <c r="M782">
        <v>1</v>
      </c>
      <c r="N782">
        <v>7</v>
      </c>
      <c r="O782">
        <v>1</v>
      </c>
      <c r="P782" t="s">
        <v>7</v>
      </c>
    </row>
    <row r="783" spans="1:16">
      <c r="A783" t="s">
        <v>1021</v>
      </c>
      <c r="B783" t="s">
        <v>968</v>
      </c>
      <c r="C783">
        <v>8.0000000000000002E-3</v>
      </c>
      <c r="D783" t="s">
        <v>765</v>
      </c>
      <c r="E783" t="s">
        <v>964</v>
      </c>
      <c r="F783" t="s">
        <v>1006</v>
      </c>
      <c r="G783" t="s">
        <v>968</v>
      </c>
      <c r="H783">
        <v>8.1289999999999996</v>
      </c>
      <c r="J783">
        <v>108380334</v>
      </c>
      <c r="K783" s="2">
        <v>46045</v>
      </c>
      <c r="L783">
        <v>21</v>
      </c>
      <c r="M783">
        <v>2</v>
      </c>
      <c r="N783">
        <v>7</v>
      </c>
      <c r="O783">
        <v>1</v>
      </c>
      <c r="P783" t="s">
        <v>7</v>
      </c>
    </row>
    <row r="784" spans="1:16">
      <c r="A784" t="s">
        <v>1021</v>
      </c>
      <c r="B784" t="s">
        <v>965</v>
      </c>
      <c r="C784">
        <v>0</v>
      </c>
      <c r="D784" t="s">
        <v>764</v>
      </c>
      <c r="E784" t="s">
        <v>1032</v>
      </c>
      <c r="G784" t="s">
        <v>961</v>
      </c>
      <c r="H784">
        <v>1.843</v>
      </c>
      <c r="J784">
        <v>106945966</v>
      </c>
      <c r="K784" s="2">
        <v>44688</v>
      </c>
      <c r="L784">
        <v>30</v>
      </c>
      <c r="M784">
        <v>2</v>
      </c>
      <c r="N784">
        <v>7</v>
      </c>
      <c r="O784">
        <v>4</v>
      </c>
      <c r="P784" t="s">
        <v>3</v>
      </c>
    </row>
    <row r="785" spans="1:16">
      <c r="A785" t="s">
        <v>1021</v>
      </c>
      <c r="B785" t="s">
        <v>975</v>
      </c>
      <c r="C785">
        <v>2E-3</v>
      </c>
      <c r="D785" t="s">
        <v>757</v>
      </c>
      <c r="E785" t="s">
        <v>965</v>
      </c>
      <c r="F785" t="s">
        <v>968</v>
      </c>
      <c r="H785">
        <v>999.99900000000002</v>
      </c>
      <c r="J785">
        <v>106978877</v>
      </c>
      <c r="K785" s="2">
        <v>44718</v>
      </c>
      <c r="L785">
        <v>27</v>
      </c>
      <c r="M785">
        <v>1</v>
      </c>
      <c r="N785">
        <v>8</v>
      </c>
      <c r="O785">
        <v>1</v>
      </c>
      <c r="P785" t="s">
        <v>7</v>
      </c>
    </row>
    <row r="786" spans="1:16">
      <c r="A786" t="s">
        <v>1021</v>
      </c>
      <c r="B786" t="s">
        <v>966</v>
      </c>
      <c r="C786">
        <v>0</v>
      </c>
      <c r="E786" t="s">
        <v>1050</v>
      </c>
      <c r="F786" t="s">
        <v>1147</v>
      </c>
      <c r="G786" t="s">
        <v>969</v>
      </c>
      <c r="H786">
        <v>1.75</v>
      </c>
      <c r="J786">
        <v>105792455</v>
      </c>
      <c r="K786" s="2">
        <v>43513</v>
      </c>
      <c r="L786">
        <v>21</v>
      </c>
      <c r="M786">
        <v>2</v>
      </c>
      <c r="N786">
        <v>7</v>
      </c>
      <c r="O786">
        <v>1</v>
      </c>
      <c r="P786" t="s">
        <v>7</v>
      </c>
    </row>
    <row r="787" spans="1:16">
      <c r="A787" t="s">
        <v>1021</v>
      </c>
      <c r="B787" t="s">
        <v>1132</v>
      </c>
      <c r="C787">
        <v>1.9E-2</v>
      </c>
      <c r="D787" t="s">
        <v>757</v>
      </c>
      <c r="E787" t="s">
        <v>966</v>
      </c>
      <c r="F787" t="s">
        <v>1152</v>
      </c>
      <c r="G787" t="s">
        <v>1153</v>
      </c>
      <c r="H787">
        <v>7.492</v>
      </c>
      <c r="J787">
        <v>105107761</v>
      </c>
      <c r="K787" s="2">
        <v>42856</v>
      </c>
      <c r="L787">
        <v>21</v>
      </c>
      <c r="M787">
        <v>1</v>
      </c>
      <c r="O787">
        <v>1</v>
      </c>
      <c r="P787" t="s">
        <v>3</v>
      </c>
    </row>
    <row r="788" spans="1:16">
      <c r="A788" t="s">
        <v>1021</v>
      </c>
      <c r="B788" t="s">
        <v>1132</v>
      </c>
      <c r="C788">
        <v>0</v>
      </c>
      <c r="E788" t="s">
        <v>966</v>
      </c>
      <c r="F788" t="s">
        <v>1152</v>
      </c>
      <c r="G788" t="s">
        <v>1153</v>
      </c>
      <c r="H788">
        <v>7.5110000000000001</v>
      </c>
      <c r="J788">
        <v>105984045</v>
      </c>
      <c r="K788" s="2">
        <v>43698</v>
      </c>
      <c r="L788">
        <v>30</v>
      </c>
      <c r="M788">
        <v>1</v>
      </c>
      <c r="N788">
        <v>8</v>
      </c>
      <c r="O788">
        <v>1</v>
      </c>
      <c r="P788" t="s">
        <v>7</v>
      </c>
    </row>
    <row r="789" spans="1:16">
      <c r="A789" t="s">
        <v>1021</v>
      </c>
      <c r="B789" t="s">
        <v>965</v>
      </c>
      <c r="C789">
        <v>8.9999999999999993E-3</v>
      </c>
      <c r="D789" t="s">
        <v>756</v>
      </c>
      <c r="E789" t="s">
        <v>1054</v>
      </c>
      <c r="F789" t="s">
        <v>1032</v>
      </c>
      <c r="G789" t="s">
        <v>961</v>
      </c>
      <c r="H789">
        <v>1.732</v>
      </c>
      <c r="J789">
        <v>106972617</v>
      </c>
      <c r="K789" s="2">
        <v>44712</v>
      </c>
      <c r="L789">
        <v>21</v>
      </c>
      <c r="M789">
        <v>1</v>
      </c>
      <c r="N789">
        <v>0</v>
      </c>
      <c r="O789">
        <v>1</v>
      </c>
      <c r="P789" t="s">
        <v>3</v>
      </c>
    </row>
    <row r="790" spans="1:16">
      <c r="A790" t="s">
        <v>1021</v>
      </c>
      <c r="B790" t="s">
        <v>965</v>
      </c>
      <c r="C790">
        <v>0</v>
      </c>
      <c r="E790" t="s">
        <v>979</v>
      </c>
      <c r="F790" t="s">
        <v>1052</v>
      </c>
      <c r="G790" t="s">
        <v>961</v>
      </c>
      <c r="H790">
        <v>1.5960000000000001</v>
      </c>
      <c r="J790">
        <v>107101829</v>
      </c>
      <c r="K790" s="2">
        <v>44839</v>
      </c>
      <c r="L790">
        <v>5</v>
      </c>
      <c r="M790">
        <v>1</v>
      </c>
      <c r="N790">
        <v>8</v>
      </c>
      <c r="O790">
        <v>2</v>
      </c>
      <c r="P790" t="s">
        <v>8</v>
      </c>
    </row>
    <row r="791" spans="1:16">
      <c r="A791" t="s">
        <v>1021</v>
      </c>
      <c r="B791" t="s">
        <v>1132</v>
      </c>
      <c r="C791">
        <v>0</v>
      </c>
      <c r="E791" t="s">
        <v>966</v>
      </c>
      <c r="F791" t="s">
        <v>1152</v>
      </c>
      <c r="G791" t="s">
        <v>1153</v>
      </c>
      <c r="H791">
        <v>7.5110000000000001</v>
      </c>
      <c r="J791">
        <v>105445139</v>
      </c>
      <c r="K791" s="2">
        <v>43172</v>
      </c>
      <c r="L791">
        <v>21</v>
      </c>
      <c r="M791">
        <v>1</v>
      </c>
      <c r="N791">
        <v>0</v>
      </c>
      <c r="O791">
        <v>1</v>
      </c>
      <c r="P791" t="s">
        <v>7</v>
      </c>
    </row>
    <row r="792" spans="1:16">
      <c r="A792" t="s">
        <v>1021</v>
      </c>
      <c r="B792" t="s">
        <v>966</v>
      </c>
      <c r="C792">
        <v>0</v>
      </c>
      <c r="E792" t="s">
        <v>1132</v>
      </c>
      <c r="F792" t="s">
        <v>1152</v>
      </c>
      <c r="G792" t="s">
        <v>1153</v>
      </c>
      <c r="H792">
        <v>7.5110000000000001</v>
      </c>
      <c r="J792">
        <v>106422415</v>
      </c>
      <c r="K792" s="2">
        <v>44139</v>
      </c>
      <c r="L792">
        <v>21</v>
      </c>
      <c r="M792">
        <v>1</v>
      </c>
      <c r="O792">
        <v>1</v>
      </c>
      <c r="P792" t="s">
        <v>7</v>
      </c>
    </row>
    <row r="793" spans="1:16">
      <c r="A793" t="s">
        <v>1021</v>
      </c>
      <c r="B793" t="s">
        <v>1033</v>
      </c>
      <c r="C793">
        <v>0</v>
      </c>
      <c r="E793" t="s">
        <v>965</v>
      </c>
      <c r="F793" t="s">
        <v>1032</v>
      </c>
      <c r="G793" t="s">
        <v>1036</v>
      </c>
      <c r="H793">
        <v>0.48</v>
      </c>
      <c r="I793" t="s">
        <v>61</v>
      </c>
      <c r="J793">
        <v>106997557</v>
      </c>
      <c r="K793" s="2">
        <v>44737</v>
      </c>
      <c r="L793">
        <v>23</v>
      </c>
      <c r="M793">
        <v>1</v>
      </c>
      <c r="N793">
        <v>7</v>
      </c>
      <c r="O793">
        <v>2</v>
      </c>
      <c r="P793" t="s">
        <v>7</v>
      </c>
    </row>
    <row r="794" spans="1:16">
      <c r="A794" t="s">
        <v>754</v>
      </c>
      <c r="B794" t="s">
        <v>962</v>
      </c>
      <c r="C794">
        <v>2E-3</v>
      </c>
      <c r="D794" t="s">
        <v>758</v>
      </c>
      <c r="E794" t="s">
        <v>968</v>
      </c>
      <c r="F794" t="s">
        <v>973</v>
      </c>
      <c r="G794" t="s">
        <v>962</v>
      </c>
      <c r="H794">
        <v>2.19</v>
      </c>
      <c r="J794">
        <v>106997868</v>
      </c>
      <c r="K794" s="2">
        <v>44736</v>
      </c>
      <c r="L794">
        <v>21</v>
      </c>
      <c r="M794">
        <v>1</v>
      </c>
      <c r="N794">
        <v>12</v>
      </c>
      <c r="O794">
        <v>1</v>
      </c>
      <c r="P794" t="s">
        <v>7</v>
      </c>
    </row>
    <row r="795" spans="1:16">
      <c r="A795" t="s">
        <v>1021</v>
      </c>
      <c r="B795" t="s">
        <v>1050</v>
      </c>
      <c r="C795">
        <v>0</v>
      </c>
      <c r="E795" t="s">
        <v>966</v>
      </c>
      <c r="F795" t="s">
        <v>1154</v>
      </c>
      <c r="G795" t="s">
        <v>969</v>
      </c>
      <c r="H795">
        <v>1.75</v>
      </c>
      <c r="J795">
        <v>105233236</v>
      </c>
      <c r="K795" s="2">
        <v>42979</v>
      </c>
      <c r="L795">
        <v>30</v>
      </c>
      <c r="M795">
        <v>1</v>
      </c>
      <c r="N795">
        <v>7</v>
      </c>
      <c r="O795">
        <v>4</v>
      </c>
      <c r="P795" t="s">
        <v>7</v>
      </c>
    </row>
    <row r="796" spans="1:16">
      <c r="A796" t="s">
        <v>1021</v>
      </c>
      <c r="B796" t="s">
        <v>1080</v>
      </c>
      <c r="C796">
        <v>4.0000000000000001E-3</v>
      </c>
      <c r="D796" t="s">
        <v>762</v>
      </c>
      <c r="E796" t="s">
        <v>964</v>
      </c>
      <c r="F796" t="s">
        <v>1072</v>
      </c>
      <c r="G796" t="s">
        <v>968</v>
      </c>
      <c r="H796">
        <v>8.1170000000000009</v>
      </c>
      <c r="J796">
        <v>106984104</v>
      </c>
      <c r="K796" s="2">
        <v>44724</v>
      </c>
      <c r="L796">
        <v>17</v>
      </c>
      <c r="M796">
        <v>1</v>
      </c>
      <c r="N796">
        <v>0</v>
      </c>
      <c r="O796">
        <v>5</v>
      </c>
      <c r="P796" t="s">
        <v>7</v>
      </c>
    </row>
    <row r="797" spans="1:16">
      <c r="A797" t="s">
        <v>1021</v>
      </c>
      <c r="B797" t="s">
        <v>1132</v>
      </c>
      <c r="C797">
        <v>0</v>
      </c>
      <c r="E797" t="s">
        <v>966</v>
      </c>
      <c r="F797" t="s">
        <v>1155</v>
      </c>
      <c r="G797" t="s">
        <v>1153</v>
      </c>
      <c r="H797">
        <v>7.5110000000000001</v>
      </c>
      <c r="J797">
        <v>106802403</v>
      </c>
      <c r="K797" s="2">
        <v>44523</v>
      </c>
      <c r="L797">
        <v>24</v>
      </c>
      <c r="M797">
        <v>1</v>
      </c>
      <c r="N797">
        <v>0</v>
      </c>
      <c r="O797">
        <v>1</v>
      </c>
      <c r="P797" t="s">
        <v>7</v>
      </c>
    </row>
    <row r="798" spans="1:16">
      <c r="A798" t="s">
        <v>1021</v>
      </c>
      <c r="B798" t="s">
        <v>967</v>
      </c>
      <c r="C798">
        <v>6.4000000000000001E-2</v>
      </c>
      <c r="D798" t="s">
        <v>6</v>
      </c>
      <c r="E798" t="s">
        <v>1018</v>
      </c>
      <c r="F798" t="s">
        <v>965</v>
      </c>
      <c r="G798" t="s">
        <v>960</v>
      </c>
      <c r="H798">
        <v>1.4259999999999999</v>
      </c>
      <c r="J798">
        <v>107049763</v>
      </c>
      <c r="K798" s="2">
        <v>44791</v>
      </c>
      <c r="L798">
        <v>24</v>
      </c>
      <c r="M798">
        <v>1</v>
      </c>
      <c r="N798">
        <v>0</v>
      </c>
      <c r="O798">
        <v>1</v>
      </c>
      <c r="P798" t="s">
        <v>7</v>
      </c>
    </row>
    <row r="799" spans="1:16">
      <c r="A799" t="s">
        <v>1021</v>
      </c>
      <c r="B799" t="s">
        <v>965</v>
      </c>
      <c r="C799">
        <v>0</v>
      </c>
      <c r="E799" t="s">
        <v>1023</v>
      </c>
      <c r="F799" t="s">
        <v>1135</v>
      </c>
      <c r="G799" t="s">
        <v>961</v>
      </c>
      <c r="H799">
        <v>0.66500000000000004</v>
      </c>
      <c r="J799">
        <v>107050946</v>
      </c>
      <c r="K799" s="2">
        <v>44791</v>
      </c>
      <c r="L799">
        <v>28</v>
      </c>
      <c r="M799">
        <v>1</v>
      </c>
      <c r="N799">
        <v>0</v>
      </c>
      <c r="O799">
        <v>1</v>
      </c>
      <c r="P799" t="s">
        <v>7</v>
      </c>
    </row>
    <row r="800" spans="1:16">
      <c r="A800" t="s">
        <v>1021</v>
      </c>
      <c r="B800" t="s">
        <v>969</v>
      </c>
      <c r="C800">
        <v>0</v>
      </c>
      <c r="E800" t="s">
        <v>966</v>
      </c>
      <c r="F800" t="s">
        <v>1156</v>
      </c>
      <c r="G800" t="s">
        <v>969</v>
      </c>
      <c r="H800">
        <v>1.75</v>
      </c>
      <c r="J800">
        <v>105463984</v>
      </c>
      <c r="K800" s="2">
        <v>43202</v>
      </c>
      <c r="L800">
        <v>26</v>
      </c>
      <c r="M800">
        <v>1</v>
      </c>
      <c r="N800">
        <v>7</v>
      </c>
      <c r="O800">
        <v>1</v>
      </c>
      <c r="P800" t="s">
        <v>7</v>
      </c>
    </row>
    <row r="801" spans="1:16">
      <c r="A801" t="s">
        <v>754</v>
      </c>
      <c r="B801" t="s">
        <v>965</v>
      </c>
      <c r="C801">
        <v>0.1</v>
      </c>
      <c r="D801" t="s">
        <v>756</v>
      </c>
      <c r="E801" t="s">
        <v>980</v>
      </c>
      <c r="F801" t="s">
        <v>1080</v>
      </c>
      <c r="G801" t="s">
        <v>962</v>
      </c>
      <c r="H801">
        <v>1.8120000000000001</v>
      </c>
      <c r="J801">
        <v>107028457</v>
      </c>
      <c r="K801" s="2">
        <v>44760</v>
      </c>
      <c r="L801">
        <v>21</v>
      </c>
      <c r="M801">
        <v>1</v>
      </c>
      <c r="N801">
        <v>0</v>
      </c>
      <c r="O801">
        <v>5</v>
      </c>
      <c r="P801" t="s">
        <v>7</v>
      </c>
    </row>
    <row r="802" spans="1:16">
      <c r="A802" t="s">
        <v>1021</v>
      </c>
      <c r="B802" t="s">
        <v>969</v>
      </c>
      <c r="C802">
        <v>0</v>
      </c>
      <c r="E802" t="s">
        <v>966</v>
      </c>
      <c r="F802" t="s">
        <v>1154</v>
      </c>
      <c r="G802" t="s">
        <v>969</v>
      </c>
      <c r="H802">
        <v>1.75</v>
      </c>
      <c r="J802">
        <v>106802260</v>
      </c>
      <c r="K802" s="2">
        <v>44467</v>
      </c>
      <c r="L802">
        <v>28</v>
      </c>
      <c r="M802">
        <v>1</v>
      </c>
      <c r="N802">
        <v>7</v>
      </c>
      <c r="O802">
        <v>1</v>
      </c>
      <c r="P802" t="s">
        <v>7</v>
      </c>
    </row>
    <row r="803" spans="1:16">
      <c r="A803" t="s">
        <v>1021</v>
      </c>
      <c r="B803" t="s">
        <v>1132</v>
      </c>
      <c r="C803">
        <v>0</v>
      </c>
      <c r="E803" t="s">
        <v>966</v>
      </c>
      <c r="F803" t="s">
        <v>1123</v>
      </c>
      <c r="G803" t="s">
        <v>1153</v>
      </c>
      <c r="H803">
        <v>7.5110000000000001</v>
      </c>
      <c r="J803">
        <v>105792453</v>
      </c>
      <c r="K803" s="2">
        <v>43507</v>
      </c>
      <c r="L803">
        <v>19</v>
      </c>
      <c r="M803">
        <v>2</v>
      </c>
      <c r="N803">
        <v>8</v>
      </c>
      <c r="O803">
        <v>1</v>
      </c>
      <c r="P803" t="s">
        <v>7</v>
      </c>
    </row>
    <row r="804" spans="1:16">
      <c r="A804" t="s">
        <v>1021</v>
      </c>
      <c r="B804" t="s">
        <v>965</v>
      </c>
      <c r="C804">
        <v>0</v>
      </c>
      <c r="E804" t="s">
        <v>1062</v>
      </c>
      <c r="F804" t="s">
        <v>1061</v>
      </c>
      <c r="G804" t="s">
        <v>1063</v>
      </c>
      <c r="H804">
        <v>0.53900000000000003</v>
      </c>
      <c r="J804">
        <v>107072038</v>
      </c>
      <c r="K804" s="2">
        <v>44811</v>
      </c>
      <c r="L804">
        <v>21</v>
      </c>
      <c r="M804">
        <v>1</v>
      </c>
      <c r="N804">
        <v>0</v>
      </c>
      <c r="O804">
        <v>1</v>
      </c>
      <c r="P804" t="s">
        <v>7</v>
      </c>
    </row>
    <row r="805" spans="1:16">
      <c r="A805" t="s">
        <v>1021</v>
      </c>
      <c r="B805" t="s">
        <v>965</v>
      </c>
      <c r="C805">
        <v>5.0999999999999997E-2</v>
      </c>
      <c r="D805" t="s">
        <v>762</v>
      </c>
      <c r="E805" t="s">
        <v>1032</v>
      </c>
      <c r="F805" t="s">
        <v>1033</v>
      </c>
      <c r="G805" t="s">
        <v>1036</v>
      </c>
      <c r="H805">
        <v>0.48099999999999998</v>
      </c>
      <c r="J805">
        <v>107045221</v>
      </c>
      <c r="K805" s="2">
        <v>44785</v>
      </c>
      <c r="L805">
        <v>21</v>
      </c>
      <c r="M805">
        <v>1</v>
      </c>
      <c r="N805">
        <v>0</v>
      </c>
      <c r="O805">
        <v>1</v>
      </c>
      <c r="P805" t="s">
        <v>7</v>
      </c>
    </row>
    <row r="806" spans="1:16">
      <c r="A806" t="s">
        <v>1021</v>
      </c>
      <c r="B806" t="s">
        <v>965</v>
      </c>
      <c r="C806">
        <v>0</v>
      </c>
      <c r="E806" t="s">
        <v>1157</v>
      </c>
      <c r="F806" t="s">
        <v>1064</v>
      </c>
      <c r="H806">
        <v>999.99900000000002</v>
      </c>
      <c r="J806">
        <v>107046533</v>
      </c>
      <c r="K806" s="2">
        <v>44787</v>
      </c>
      <c r="L806">
        <v>30</v>
      </c>
      <c r="M806">
        <v>1</v>
      </c>
      <c r="N806">
        <v>8</v>
      </c>
      <c r="O806">
        <v>5</v>
      </c>
      <c r="P806" t="s">
        <v>8</v>
      </c>
    </row>
    <row r="807" spans="1:16">
      <c r="A807" t="s">
        <v>1021</v>
      </c>
      <c r="B807" t="s">
        <v>979</v>
      </c>
      <c r="C807">
        <v>1.9E-2</v>
      </c>
      <c r="D807" t="s">
        <v>757</v>
      </c>
      <c r="E807" t="s">
        <v>965</v>
      </c>
      <c r="F807" t="s">
        <v>1071</v>
      </c>
      <c r="G807" t="s">
        <v>979</v>
      </c>
      <c r="H807">
        <v>9.6820000000000004</v>
      </c>
      <c r="J807">
        <v>107053944</v>
      </c>
      <c r="K807" s="2">
        <v>44793</v>
      </c>
      <c r="L807">
        <v>1</v>
      </c>
      <c r="M807">
        <v>1</v>
      </c>
      <c r="N807">
        <v>19</v>
      </c>
      <c r="O807">
        <v>4</v>
      </c>
      <c r="P807" t="s">
        <v>7</v>
      </c>
    </row>
    <row r="808" spans="1:16">
      <c r="A808" t="s">
        <v>1021</v>
      </c>
      <c r="B808" t="s">
        <v>965</v>
      </c>
      <c r="C808">
        <v>0</v>
      </c>
      <c r="E808" t="s">
        <v>1032</v>
      </c>
      <c r="F808" t="s">
        <v>1035</v>
      </c>
      <c r="G808" t="s">
        <v>961</v>
      </c>
      <c r="H808">
        <v>1.843</v>
      </c>
      <c r="J808">
        <v>107046295</v>
      </c>
      <c r="K808" s="2">
        <v>44788</v>
      </c>
      <c r="L808">
        <v>30</v>
      </c>
      <c r="M808">
        <v>2</v>
      </c>
      <c r="N808">
        <v>0</v>
      </c>
      <c r="O808">
        <v>1</v>
      </c>
      <c r="P808" t="s">
        <v>7</v>
      </c>
    </row>
    <row r="809" spans="1:16">
      <c r="A809" t="s">
        <v>1021</v>
      </c>
      <c r="B809" t="s">
        <v>965</v>
      </c>
      <c r="C809">
        <v>0</v>
      </c>
      <c r="E809" t="s">
        <v>1099</v>
      </c>
      <c r="F809" t="s">
        <v>1062</v>
      </c>
      <c r="G809" t="s">
        <v>1063</v>
      </c>
      <c r="H809">
        <v>0.311</v>
      </c>
      <c r="J809">
        <v>106976592</v>
      </c>
      <c r="K809" s="2">
        <v>44714</v>
      </c>
      <c r="L809">
        <v>24</v>
      </c>
      <c r="M809">
        <v>1</v>
      </c>
      <c r="N809">
        <v>0</v>
      </c>
      <c r="O809">
        <v>1</v>
      </c>
      <c r="P809" t="s">
        <v>7</v>
      </c>
    </row>
    <row r="810" spans="1:16">
      <c r="A810" t="s">
        <v>1021</v>
      </c>
      <c r="B810" t="s">
        <v>965</v>
      </c>
      <c r="C810">
        <v>1.7000000000000001E-2</v>
      </c>
      <c r="D810" t="s">
        <v>756</v>
      </c>
      <c r="E810" t="s">
        <v>1032</v>
      </c>
      <c r="F810" t="s">
        <v>1033</v>
      </c>
      <c r="G810" t="s">
        <v>961</v>
      </c>
      <c r="H810">
        <v>1.86</v>
      </c>
      <c r="J810">
        <v>107047308</v>
      </c>
      <c r="K810" s="2">
        <v>44789</v>
      </c>
      <c r="L810">
        <v>21</v>
      </c>
      <c r="M810">
        <v>2</v>
      </c>
      <c r="N810">
        <v>0</v>
      </c>
      <c r="O810">
        <v>1</v>
      </c>
      <c r="P810" t="s">
        <v>7</v>
      </c>
    </row>
    <row r="811" spans="1:16">
      <c r="A811" t="s">
        <v>1021</v>
      </c>
      <c r="B811" t="s">
        <v>965</v>
      </c>
      <c r="C811">
        <v>0</v>
      </c>
      <c r="E811" t="s">
        <v>1023</v>
      </c>
      <c r="F811" t="s">
        <v>1135</v>
      </c>
      <c r="G811" t="s">
        <v>961</v>
      </c>
      <c r="H811">
        <v>0.66500000000000004</v>
      </c>
      <c r="J811">
        <v>107047314</v>
      </c>
      <c r="K811" s="2">
        <v>44789</v>
      </c>
      <c r="L811">
        <v>30</v>
      </c>
      <c r="M811">
        <v>2</v>
      </c>
      <c r="N811">
        <v>7</v>
      </c>
      <c r="O811">
        <v>1</v>
      </c>
      <c r="P811" t="s">
        <v>7</v>
      </c>
    </row>
    <row r="812" spans="1:16">
      <c r="A812" t="s">
        <v>1021</v>
      </c>
      <c r="B812" t="s">
        <v>965</v>
      </c>
      <c r="C812">
        <v>0.2</v>
      </c>
      <c r="D812" t="s">
        <v>758</v>
      </c>
      <c r="E812" t="s">
        <v>1056</v>
      </c>
      <c r="F812" t="s">
        <v>1023</v>
      </c>
      <c r="G812" t="s">
        <v>961</v>
      </c>
      <c r="H812">
        <v>1.077</v>
      </c>
      <c r="J812">
        <v>107063379</v>
      </c>
      <c r="K812" s="2">
        <v>44803</v>
      </c>
      <c r="L812">
        <v>17</v>
      </c>
      <c r="M812">
        <v>1</v>
      </c>
      <c r="N812">
        <v>0</v>
      </c>
      <c r="O812">
        <v>1</v>
      </c>
      <c r="P812" t="s">
        <v>7</v>
      </c>
    </row>
    <row r="813" spans="1:16">
      <c r="A813" t="s">
        <v>1021</v>
      </c>
      <c r="B813" t="s">
        <v>965</v>
      </c>
      <c r="C813">
        <v>0</v>
      </c>
      <c r="E813" t="s">
        <v>968</v>
      </c>
      <c r="F813" t="s">
        <v>977</v>
      </c>
      <c r="G813" t="s">
        <v>962</v>
      </c>
      <c r="H813">
        <v>2.1920000000000002</v>
      </c>
      <c r="J813">
        <v>107072037</v>
      </c>
      <c r="K813" s="2">
        <v>44811</v>
      </c>
      <c r="L813">
        <v>21</v>
      </c>
      <c r="M813">
        <v>1</v>
      </c>
      <c r="N813">
        <v>0</v>
      </c>
      <c r="O813">
        <v>1</v>
      </c>
      <c r="P813" t="s">
        <v>7</v>
      </c>
    </row>
    <row r="814" spans="1:16">
      <c r="A814" t="s">
        <v>1021</v>
      </c>
      <c r="B814" t="s">
        <v>1080</v>
      </c>
      <c r="C814">
        <v>0</v>
      </c>
      <c r="E814" t="s">
        <v>964</v>
      </c>
      <c r="F814" t="s">
        <v>985</v>
      </c>
      <c r="G814" t="s">
        <v>968</v>
      </c>
      <c r="H814">
        <v>8.1210000000000004</v>
      </c>
      <c r="J814">
        <v>107061166</v>
      </c>
      <c r="K814" s="2">
        <v>44802</v>
      </c>
      <c r="L814">
        <v>28</v>
      </c>
      <c r="M814">
        <v>1</v>
      </c>
      <c r="N814">
        <v>7</v>
      </c>
      <c r="O814">
        <v>1</v>
      </c>
      <c r="P814" t="s">
        <v>7</v>
      </c>
    </row>
    <row r="815" spans="1:16">
      <c r="A815" t="s">
        <v>1021</v>
      </c>
      <c r="B815" t="s">
        <v>966</v>
      </c>
      <c r="C815">
        <v>3.7999999999999999E-2</v>
      </c>
      <c r="D815" t="s">
        <v>757</v>
      </c>
      <c r="E815" t="s">
        <v>1102</v>
      </c>
      <c r="F815" t="s">
        <v>1050</v>
      </c>
      <c r="H815">
        <v>999.99900000000002</v>
      </c>
      <c r="J815">
        <v>107063516</v>
      </c>
      <c r="K815" s="2">
        <v>44804</v>
      </c>
      <c r="L815">
        <v>1</v>
      </c>
      <c r="M815">
        <v>1</v>
      </c>
      <c r="N815">
        <v>0</v>
      </c>
      <c r="O815">
        <v>5</v>
      </c>
      <c r="P815" t="s">
        <v>3</v>
      </c>
    </row>
    <row r="816" spans="1:16">
      <c r="A816" t="s">
        <v>1021</v>
      </c>
      <c r="B816" t="s">
        <v>1033</v>
      </c>
      <c r="C816">
        <v>0</v>
      </c>
      <c r="E816" t="s">
        <v>965</v>
      </c>
      <c r="F816" t="s">
        <v>1083</v>
      </c>
      <c r="G816" t="s">
        <v>1033</v>
      </c>
      <c r="H816">
        <v>999.99900000000002</v>
      </c>
      <c r="J816">
        <v>107058045</v>
      </c>
      <c r="K816" s="2">
        <v>44800</v>
      </c>
      <c r="L816">
        <v>21</v>
      </c>
      <c r="M816">
        <v>1</v>
      </c>
      <c r="N816">
        <v>7</v>
      </c>
      <c r="O816">
        <v>4</v>
      </c>
      <c r="P816" t="s">
        <v>7</v>
      </c>
    </row>
    <row r="817" spans="1:16">
      <c r="A817" t="s">
        <v>1021</v>
      </c>
      <c r="B817" t="s">
        <v>965</v>
      </c>
      <c r="C817">
        <v>2.1999999999999999E-2</v>
      </c>
      <c r="D817" t="s">
        <v>765</v>
      </c>
      <c r="E817" t="s">
        <v>1064</v>
      </c>
      <c r="F817" t="s">
        <v>1056</v>
      </c>
      <c r="G817" t="s">
        <v>961</v>
      </c>
      <c r="H817">
        <v>1.383</v>
      </c>
      <c r="J817">
        <v>108566575</v>
      </c>
      <c r="K817" s="2">
        <v>46225</v>
      </c>
      <c r="L817">
        <v>28</v>
      </c>
      <c r="M817">
        <v>1</v>
      </c>
      <c r="N817">
        <v>0</v>
      </c>
      <c r="O817">
        <v>1</v>
      </c>
      <c r="P817" t="s">
        <v>7</v>
      </c>
    </row>
    <row r="818" spans="1:16">
      <c r="A818" t="s">
        <v>1021</v>
      </c>
      <c r="B818" t="s">
        <v>965</v>
      </c>
      <c r="C818">
        <v>0</v>
      </c>
      <c r="E818" t="s">
        <v>1062</v>
      </c>
      <c r="F818" t="s">
        <v>1061</v>
      </c>
      <c r="G818" t="s">
        <v>1063</v>
      </c>
      <c r="H818">
        <v>0.53900000000000003</v>
      </c>
      <c r="J818">
        <v>108249653</v>
      </c>
      <c r="K818" s="2">
        <v>45932</v>
      </c>
      <c r="L818">
        <v>21</v>
      </c>
      <c r="M818">
        <v>1</v>
      </c>
      <c r="N818">
        <v>8</v>
      </c>
      <c r="O818">
        <v>1</v>
      </c>
      <c r="P818" t="s">
        <v>7</v>
      </c>
    </row>
    <row r="819" spans="1:16">
      <c r="A819" t="s">
        <v>1021</v>
      </c>
      <c r="B819" t="s">
        <v>965</v>
      </c>
      <c r="C819">
        <v>0</v>
      </c>
      <c r="D819" t="s">
        <v>756</v>
      </c>
      <c r="E819" t="s">
        <v>1023</v>
      </c>
      <c r="G819" t="s">
        <v>961</v>
      </c>
      <c r="H819">
        <v>0.66500000000000004</v>
      </c>
      <c r="J819">
        <v>107049772</v>
      </c>
      <c r="K819" s="2">
        <v>44791</v>
      </c>
      <c r="L819">
        <v>28</v>
      </c>
      <c r="M819">
        <v>1</v>
      </c>
      <c r="N819">
        <v>7</v>
      </c>
      <c r="O819">
        <v>1</v>
      </c>
      <c r="P819" t="s">
        <v>7</v>
      </c>
    </row>
    <row r="820" spans="1:16">
      <c r="A820" t="s">
        <v>1021</v>
      </c>
      <c r="B820" t="s">
        <v>965</v>
      </c>
      <c r="C820">
        <v>3.7999999999999999E-2</v>
      </c>
      <c r="D820" t="s">
        <v>756</v>
      </c>
      <c r="E820" t="s">
        <v>968</v>
      </c>
      <c r="F820" t="s">
        <v>967</v>
      </c>
      <c r="G820" t="s">
        <v>961</v>
      </c>
      <c r="H820">
        <v>3.7999999999999999E-2</v>
      </c>
      <c r="J820">
        <v>107067250</v>
      </c>
      <c r="K820" s="2">
        <v>44806</v>
      </c>
      <c r="L820">
        <v>21</v>
      </c>
      <c r="M820">
        <v>1</v>
      </c>
      <c r="N820">
        <v>0</v>
      </c>
      <c r="O820">
        <v>1</v>
      </c>
      <c r="P820" t="s">
        <v>7</v>
      </c>
    </row>
    <row r="821" spans="1:16">
      <c r="A821" t="s">
        <v>1021</v>
      </c>
      <c r="B821" t="s">
        <v>965</v>
      </c>
      <c r="C821">
        <v>0</v>
      </c>
      <c r="E821" t="s">
        <v>1032</v>
      </c>
      <c r="F821" t="s">
        <v>1054</v>
      </c>
      <c r="G821" t="s">
        <v>961</v>
      </c>
      <c r="H821">
        <v>1.843</v>
      </c>
      <c r="J821">
        <v>107121939</v>
      </c>
      <c r="K821" s="2">
        <v>44859</v>
      </c>
      <c r="L821">
        <v>23</v>
      </c>
      <c r="M821">
        <v>1</v>
      </c>
      <c r="N821">
        <v>7</v>
      </c>
      <c r="O821">
        <v>1</v>
      </c>
      <c r="P821" t="s">
        <v>7</v>
      </c>
    </row>
    <row r="822" spans="1:16">
      <c r="A822" t="s">
        <v>1021</v>
      </c>
      <c r="B822" t="s">
        <v>962</v>
      </c>
      <c r="C822">
        <v>5.0000000000000001E-3</v>
      </c>
      <c r="D822" t="s">
        <v>758</v>
      </c>
      <c r="E822" t="s">
        <v>968</v>
      </c>
      <c r="F822" t="s">
        <v>977</v>
      </c>
      <c r="G822" t="s">
        <v>962</v>
      </c>
      <c r="H822">
        <v>2.1869999999999998</v>
      </c>
      <c r="J822">
        <v>107134309</v>
      </c>
      <c r="K822" s="2">
        <v>44867</v>
      </c>
      <c r="L822">
        <v>21</v>
      </c>
      <c r="M822">
        <v>1</v>
      </c>
      <c r="N822">
        <v>7</v>
      </c>
      <c r="O822">
        <v>1</v>
      </c>
      <c r="P822" t="s">
        <v>3</v>
      </c>
    </row>
    <row r="823" spans="1:16">
      <c r="A823" t="s">
        <v>1021</v>
      </c>
      <c r="B823" t="s">
        <v>965</v>
      </c>
      <c r="C823">
        <v>0.95</v>
      </c>
      <c r="D823" t="s">
        <v>758</v>
      </c>
      <c r="E823" t="s">
        <v>968</v>
      </c>
      <c r="F823" t="s">
        <v>968</v>
      </c>
      <c r="G823" t="s">
        <v>962</v>
      </c>
      <c r="H823">
        <v>1.242</v>
      </c>
      <c r="J823">
        <v>107084782</v>
      </c>
      <c r="K823" s="2">
        <v>44824</v>
      </c>
      <c r="L823">
        <v>28</v>
      </c>
      <c r="M823">
        <v>1</v>
      </c>
      <c r="N823">
        <v>0</v>
      </c>
      <c r="O823">
        <v>1</v>
      </c>
      <c r="P823" t="s">
        <v>7</v>
      </c>
    </row>
    <row r="824" spans="1:16">
      <c r="A824" t="s">
        <v>754</v>
      </c>
      <c r="B824" t="s">
        <v>962</v>
      </c>
      <c r="C824">
        <v>0</v>
      </c>
      <c r="E824" t="s">
        <v>1003</v>
      </c>
      <c r="F824" t="s">
        <v>968</v>
      </c>
      <c r="G824" t="s">
        <v>962</v>
      </c>
      <c r="H824">
        <v>1.9019999999999999</v>
      </c>
      <c r="J824">
        <v>107025244</v>
      </c>
      <c r="K824" s="2">
        <v>44764</v>
      </c>
      <c r="L824">
        <v>22</v>
      </c>
      <c r="M824">
        <v>1</v>
      </c>
      <c r="N824">
        <v>8</v>
      </c>
      <c r="O824">
        <v>1</v>
      </c>
      <c r="P824" t="s">
        <v>3</v>
      </c>
    </row>
    <row r="825" spans="1:16">
      <c r="A825" t="s">
        <v>1021</v>
      </c>
      <c r="B825" t="s">
        <v>965</v>
      </c>
      <c r="C825">
        <v>0</v>
      </c>
      <c r="E825" t="s">
        <v>963</v>
      </c>
      <c r="F825" t="s">
        <v>1023</v>
      </c>
      <c r="G825" t="s">
        <v>961</v>
      </c>
      <c r="H825">
        <v>0.21099999999999999</v>
      </c>
      <c r="J825">
        <v>107051745</v>
      </c>
      <c r="K825" s="2">
        <v>44793</v>
      </c>
      <c r="L825">
        <v>23</v>
      </c>
      <c r="M825">
        <v>1</v>
      </c>
      <c r="N825">
        <v>7</v>
      </c>
      <c r="O825">
        <v>1</v>
      </c>
      <c r="P825" t="s">
        <v>3</v>
      </c>
    </row>
    <row r="826" spans="1:16">
      <c r="A826" t="s">
        <v>1021</v>
      </c>
      <c r="B826" t="s">
        <v>965</v>
      </c>
      <c r="C826">
        <v>8.5000000000000006E-2</v>
      </c>
      <c r="D826" t="s">
        <v>758</v>
      </c>
      <c r="E826" t="s">
        <v>967</v>
      </c>
      <c r="F826" t="s">
        <v>968</v>
      </c>
      <c r="G826" t="s">
        <v>961</v>
      </c>
      <c r="H826">
        <v>0.126</v>
      </c>
      <c r="J826">
        <v>107108479</v>
      </c>
      <c r="K826" s="2">
        <v>44846</v>
      </c>
      <c r="L826">
        <v>21</v>
      </c>
      <c r="M826">
        <v>1</v>
      </c>
      <c r="N826">
        <v>0</v>
      </c>
      <c r="O826">
        <v>1</v>
      </c>
      <c r="P826" t="s">
        <v>7</v>
      </c>
    </row>
    <row r="827" spans="1:16">
      <c r="A827" t="s">
        <v>1021</v>
      </c>
      <c r="B827" t="s">
        <v>968</v>
      </c>
      <c r="C827">
        <v>5.0000000000000001E-3</v>
      </c>
      <c r="D827" t="s">
        <v>758</v>
      </c>
      <c r="E827" t="s">
        <v>964</v>
      </c>
      <c r="F827" t="s">
        <v>985</v>
      </c>
      <c r="G827" t="s">
        <v>968</v>
      </c>
      <c r="H827">
        <v>8.1259999999999994</v>
      </c>
      <c r="J827">
        <v>107080890</v>
      </c>
      <c r="K827" s="2">
        <v>44820</v>
      </c>
      <c r="L827">
        <v>21</v>
      </c>
      <c r="M827">
        <v>1</v>
      </c>
      <c r="N827">
        <v>0</v>
      </c>
      <c r="O827">
        <v>1</v>
      </c>
      <c r="P827" t="s">
        <v>7</v>
      </c>
    </row>
    <row r="828" spans="1:16">
      <c r="A828" t="s">
        <v>1021</v>
      </c>
      <c r="B828" t="s">
        <v>965</v>
      </c>
      <c r="C828">
        <v>2.5000000000000001E-2</v>
      </c>
      <c r="D828" t="s">
        <v>756</v>
      </c>
      <c r="E828" t="s">
        <v>1052</v>
      </c>
      <c r="F828" t="s">
        <v>1054</v>
      </c>
      <c r="G828" t="s">
        <v>961</v>
      </c>
      <c r="H828">
        <v>1.456</v>
      </c>
      <c r="J828">
        <v>107109749</v>
      </c>
      <c r="K828" s="2">
        <v>44847</v>
      </c>
      <c r="L828">
        <v>21</v>
      </c>
      <c r="M828">
        <v>1</v>
      </c>
      <c r="N828">
        <v>1</v>
      </c>
      <c r="O828">
        <v>1</v>
      </c>
      <c r="P828" t="s">
        <v>7</v>
      </c>
    </row>
    <row r="829" spans="1:16">
      <c r="A829" t="s">
        <v>1021</v>
      </c>
      <c r="B829" t="s">
        <v>965</v>
      </c>
      <c r="C829">
        <v>0</v>
      </c>
      <c r="E829" t="s">
        <v>1054</v>
      </c>
      <c r="F829" t="s">
        <v>1032</v>
      </c>
      <c r="G829" t="s">
        <v>961</v>
      </c>
      <c r="H829">
        <v>1.7230000000000001</v>
      </c>
      <c r="J829">
        <v>107094839</v>
      </c>
      <c r="K829" s="2">
        <v>44833</v>
      </c>
      <c r="L829">
        <v>28</v>
      </c>
      <c r="M829">
        <v>1</v>
      </c>
      <c r="N829">
        <v>0</v>
      </c>
      <c r="O829">
        <v>1</v>
      </c>
      <c r="P829" t="s">
        <v>7</v>
      </c>
    </row>
    <row r="830" spans="1:16">
      <c r="A830" t="s">
        <v>1021</v>
      </c>
      <c r="B830" t="s">
        <v>965</v>
      </c>
      <c r="C830">
        <v>0</v>
      </c>
      <c r="E830" t="s">
        <v>1037</v>
      </c>
      <c r="F830" t="s">
        <v>1023</v>
      </c>
      <c r="G830" t="s">
        <v>961</v>
      </c>
      <c r="H830">
        <v>0.66500000000000004</v>
      </c>
      <c r="J830">
        <v>107201538</v>
      </c>
      <c r="K830" s="2">
        <v>44910</v>
      </c>
      <c r="L830">
        <v>17</v>
      </c>
      <c r="M830">
        <v>2</v>
      </c>
      <c r="N830">
        <v>7</v>
      </c>
      <c r="O830">
        <v>1</v>
      </c>
      <c r="P830" t="s">
        <v>7</v>
      </c>
    </row>
    <row r="831" spans="1:16">
      <c r="A831" t="s">
        <v>1021</v>
      </c>
      <c r="B831" t="s">
        <v>967</v>
      </c>
      <c r="C831">
        <v>0.37</v>
      </c>
      <c r="D831" t="s">
        <v>764</v>
      </c>
      <c r="E831" t="s">
        <v>965</v>
      </c>
      <c r="F831" t="s">
        <v>1029</v>
      </c>
      <c r="G831" t="s">
        <v>960</v>
      </c>
      <c r="H831">
        <v>1.119</v>
      </c>
      <c r="J831">
        <v>107149980</v>
      </c>
      <c r="K831" s="2">
        <v>44861</v>
      </c>
      <c r="L831">
        <v>2</v>
      </c>
      <c r="M831">
        <v>1</v>
      </c>
      <c r="N831">
        <v>0</v>
      </c>
      <c r="O831">
        <v>1</v>
      </c>
      <c r="P831" t="s">
        <v>7</v>
      </c>
    </row>
    <row r="832" spans="1:16">
      <c r="A832" t="s">
        <v>1021</v>
      </c>
      <c r="B832" t="s">
        <v>965</v>
      </c>
      <c r="C832">
        <v>5.7000000000000002E-2</v>
      </c>
      <c r="D832" t="s">
        <v>758</v>
      </c>
      <c r="E832" t="s">
        <v>979</v>
      </c>
      <c r="F832" t="s">
        <v>1052</v>
      </c>
      <c r="G832" t="s">
        <v>961</v>
      </c>
      <c r="H832">
        <v>1.5389999999999999</v>
      </c>
      <c r="J832">
        <v>107150016</v>
      </c>
      <c r="K832" s="2">
        <v>44873</v>
      </c>
      <c r="L832">
        <v>17</v>
      </c>
      <c r="M832">
        <v>1</v>
      </c>
      <c r="N832">
        <v>0</v>
      </c>
      <c r="O832">
        <v>1</v>
      </c>
      <c r="P832" t="s">
        <v>7</v>
      </c>
    </row>
    <row r="833" spans="1:16">
      <c r="A833" t="s">
        <v>1021</v>
      </c>
      <c r="B833" t="s">
        <v>965</v>
      </c>
      <c r="C833">
        <v>4.8000000000000001E-2</v>
      </c>
      <c r="D833" t="s">
        <v>756</v>
      </c>
      <c r="E833" t="s">
        <v>967</v>
      </c>
      <c r="F833" t="s">
        <v>1020</v>
      </c>
      <c r="G833" t="s">
        <v>961</v>
      </c>
      <c r="H833">
        <v>0.25900000000000001</v>
      </c>
      <c r="J833">
        <v>107150024</v>
      </c>
      <c r="K833" s="2">
        <v>44878</v>
      </c>
      <c r="L833">
        <v>28</v>
      </c>
      <c r="M833">
        <v>1</v>
      </c>
      <c r="N833">
        <v>0</v>
      </c>
      <c r="O833">
        <v>1</v>
      </c>
      <c r="P833" t="s">
        <v>7</v>
      </c>
    </row>
    <row r="834" spans="1:16">
      <c r="A834" t="s">
        <v>1021</v>
      </c>
      <c r="B834" t="s">
        <v>968</v>
      </c>
      <c r="C834">
        <v>1.7000000000000001E-2</v>
      </c>
      <c r="D834" t="s">
        <v>765</v>
      </c>
      <c r="E834" t="s">
        <v>965</v>
      </c>
      <c r="F834" t="s">
        <v>1072</v>
      </c>
      <c r="G834" t="s">
        <v>968</v>
      </c>
      <c r="H834">
        <v>7.7670000000000003</v>
      </c>
      <c r="J834">
        <v>108541324</v>
      </c>
      <c r="K834" s="2">
        <v>46199</v>
      </c>
      <c r="L834">
        <v>22</v>
      </c>
      <c r="M834">
        <v>1</v>
      </c>
      <c r="N834">
        <v>0</v>
      </c>
      <c r="O834">
        <v>1</v>
      </c>
      <c r="P834" t="s">
        <v>7</v>
      </c>
    </row>
    <row r="835" spans="1:16">
      <c r="A835" t="s">
        <v>1021</v>
      </c>
      <c r="B835" t="s">
        <v>965</v>
      </c>
      <c r="C835">
        <v>0</v>
      </c>
      <c r="E835" t="s">
        <v>1022</v>
      </c>
      <c r="F835" t="s">
        <v>968</v>
      </c>
      <c r="G835" t="s">
        <v>961</v>
      </c>
      <c r="H835">
        <v>0.21099999999999999</v>
      </c>
      <c r="J835">
        <v>107208073</v>
      </c>
      <c r="K835" s="2">
        <v>44919</v>
      </c>
      <c r="L835">
        <v>24</v>
      </c>
      <c r="M835">
        <v>1</v>
      </c>
      <c r="N835">
        <v>8</v>
      </c>
      <c r="O835">
        <v>1</v>
      </c>
      <c r="P835" t="s">
        <v>7</v>
      </c>
    </row>
    <row r="836" spans="1:16">
      <c r="A836" t="s">
        <v>1021</v>
      </c>
      <c r="B836" t="s">
        <v>965</v>
      </c>
      <c r="C836">
        <v>0</v>
      </c>
      <c r="E836" t="s">
        <v>967</v>
      </c>
      <c r="G836" t="s">
        <v>961</v>
      </c>
      <c r="H836">
        <v>0.21099999999999999</v>
      </c>
      <c r="J836">
        <v>107203016</v>
      </c>
      <c r="K836" s="2">
        <v>44931</v>
      </c>
      <c r="L836">
        <v>30</v>
      </c>
      <c r="M836">
        <v>1</v>
      </c>
      <c r="N836">
        <v>7</v>
      </c>
      <c r="O836">
        <v>4</v>
      </c>
      <c r="P836" t="s">
        <v>3</v>
      </c>
    </row>
    <row r="837" spans="1:16">
      <c r="A837" t="s">
        <v>1021</v>
      </c>
      <c r="B837" t="s">
        <v>965</v>
      </c>
      <c r="C837">
        <v>0.14000000000000001</v>
      </c>
      <c r="D837" t="s">
        <v>758</v>
      </c>
      <c r="E837" t="s">
        <v>967</v>
      </c>
      <c r="F837" t="s">
        <v>968</v>
      </c>
      <c r="G837" t="s">
        <v>961</v>
      </c>
      <c r="H837">
        <v>7.0999999999999994E-2</v>
      </c>
      <c r="J837">
        <v>107149989</v>
      </c>
      <c r="K837" s="2">
        <v>44862</v>
      </c>
      <c r="L837">
        <v>21</v>
      </c>
      <c r="M837">
        <v>1</v>
      </c>
      <c r="N837">
        <v>7</v>
      </c>
      <c r="O837">
        <v>1</v>
      </c>
      <c r="P837" t="s">
        <v>7</v>
      </c>
    </row>
    <row r="838" spans="1:16">
      <c r="A838" t="s">
        <v>1021</v>
      </c>
      <c r="B838" t="s">
        <v>1115</v>
      </c>
      <c r="C838">
        <v>0</v>
      </c>
      <c r="D838" t="s">
        <v>6</v>
      </c>
      <c r="E838" t="s">
        <v>965</v>
      </c>
      <c r="H838">
        <v>999.99900000000002</v>
      </c>
      <c r="J838">
        <v>107155615</v>
      </c>
      <c r="K838" s="2">
        <v>44886</v>
      </c>
      <c r="L838">
        <v>20</v>
      </c>
      <c r="M838">
        <v>1</v>
      </c>
      <c r="N838">
        <v>0</v>
      </c>
      <c r="O838">
        <v>1</v>
      </c>
      <c r="P838" t="s">
        <v>7</v>
      </c>
    </row>
    <row r="839" spans="1:16">
      <c r="A839" t="s">
        <v>1021</v>
      </c>
      <c r="B839" t="s">
        <v>968</v>
      </c>
      <c r="C839">
        <v>0</v>
      </c>
      <c r="E839" t="s">
        <v>964</v>
      </c>
      <c r="F839" t="s">
        <v>1045</v>
      </c>
      <c r="G839" t="s">
        <v>968</v>
      </c>
      <c r="H839">
        <v>8.1210000000000004</v>
      </c>
      <c r="J839">
        <v>107149987</v>
      </c>
      <c r="K839" s="2">
        <v>44863</v>
      </c>
      <c r="L839">
        <v>24</v>
      </c>
      <c r="M839">
        <v>1</v>
      </c>
      <c r="N839">
        <v>7</v>
      </c>
      <c r="O839">
        <v>2</v>
      </c>
      <c r="P839" t="s">
        <v>3</v>
      </c>
    </row>
    <row r="840" spans="1:16">
      <c r="A840" t="s">
        <v>1021</v>
      </c>
      <c r="B840" t="s">
        <v>965</v>
      </c>
      <c r="C840">
        <v>0</v>
      </c>
      <c r="E840" t="s">
        <v>1032</v>
      </c>
      <c r="F840" t="s">
        <v>1033</v>
      </c>
      <c r="G840" t="s">
        <v>961</v>
      </c>
      <c r="H840">
        <v>1.843</v>
      </c>
      <c r="J840">
        <v>107150023</v>
      </c>
      <c r="K840" s="2">
        <v>44877</v>
      </c>
      <c r="L840">
        <v>30</v>
      </c>
      <c r="M840">
        <v>1</v>
      </c>
      <c r="N840">
        <v>7</v>
      </c>
      <c r="O840">
        <v>1</v>
      </c>
      <c r="P840" t="s">
        <v>7</v>
      </c>
    </row>
    <row r="841" spans="1:16">
      <c r="A841" t="s">
        <v>1021</v>
      </c>
      <c r="B841" t="s">
        <v>965</v>
      </c>
      <c r="C841">
        <v>0.18</v>
      </c>
      <c r="D841" t="s">
        <v>758</v>
      </c>
      <c r="E841" t="s">
        <v>967</v>
      </c>
      <c r="F841" t="s">
        <v>968</v>
      </c>
      <c r="G841" t="s">
        <v>961</v>
      </c>
      <c r="H841">
        <v>3.1E-2</v>
      </c>
      <c r="J841">
        <v>107151491</v>
      </c>
      <c r="K841" s="2">
        <v>44883</v>
      </c>
      <c r="L841">
        <v>28</v>
      </c>
      <c r="M841">
        <v>1</v>
      </c>
      <c r="N841">
        <v>0</v>
      </c>
      <c r="O841">
        <v>2</v>
      </c>
      <c r="P841" t="s">
        <v>7</v>
      </c>
    </row>
    <row r="842" spans="1:16">
      <c r="A842" t="s">
        <v>1021</v>
      </c>
      <c r="B842" t="s">
        <v>965</v>
      </c>
      <c r="C842">
        <v>0.22</v>
      </c>
      <c r="D842" t="s">
        <v>758</v>
      </c>
      <c r="E842" t="s">
        <v>967</v>
      </c>
      <c r="F842" t="s">
        <v>968</v>
      </c>
      <c r="G842" t="s">
        <v>962</v>
      </c>
      <c r="H842">
        <v>2.1829999999999998</v>
      </c>
      <c r="J842">
        <v>107207040</v>
      </c>
      <c r="K842" s="2">
        <v>44935</v>
      </c>
      <c r="L842">
        <v>24</v>
      </c>
      <c r="M842">
        <v>1</v>
      </c>
      <c r="N842">
        <v>0</v>
      </c>
      <c r="O842">
        <v>1</v>
      </c>
      <c r="P842" t="s">
        <v>3</v>
      </c>
    </row>
    <row r="843" spans="1:16">
      <c r="A843" t="s">
        <v>1021</v>
      </c>
      <c r="B843" t="s">
        <v>968</v>
      </c>
      <c r="C843">
        <v>0</v>
      </c>
      <c r="E843" t="s">
        <v>964</v>
      </c>
      <c r="G843" t="s">
        <v>968</v>
      </c>
      <c r="H843">
        <v>8.1210000000000004</v>
      </c>
      <c r="J843">
        <v>107149988</v>
      </c>
      <c r="K843" s="2">
        <v>44862</v>
      </c>
      <c r="L843">
        <v>21</v>
      </c>
      <c r="M843">
        <v>1</v>
      </c>
      <c r="N843">
        <v>7</v>
      </c>
      <c r="O843">
        <v>1</v>
      </c>
      <c r="P843" t="s">
        <v>7</v>
      </c>
    </row>
    <row r="844" spans="1:16">
      <c r="A844" t="s">
        <v>1021</v>
      </c>
      <c r="B844" t="s">
        <v>968</v>
      </c>
      <c r="C844">
        <v>0</v>
      </c>
      <c r="E844" t="s">
        <v>964</v>
      </c>
      <c r="F844" t="s">
        <v>1072</v>
      </c>
      <c r="G844" t="s">
        <v>968</v>
      </c>
      <c r="H844">
        <v>8.1210000000000004</v>
      </c>
      <c r="J844">
        <v>107149990</v>
      </c>
      <c r="K844" s="2">
        <v>44864</v>
      </c>
      <c r="L844">
        <v>21</v>
      </c>
      <c r="M844">
        <v>1</v>
      </c>
      <c r="N844">
        <v>7</v>
      </c>
      <c r="O844">
        <v>5</v>
      </c>
      <c r="P844" t="s">
        <v>3</v>
      </c>
    </row>
    <row r="845" spans="1:16">
      <c r="A845" t="s">
        <v>1021</v>
      </c>
      <c r="B845" t="s">
        <v>979</v>
      </c>
      <c r="C845">
        <v>1.9E-2</v>
      </c>
      <c r="D845" t="s">
        <v>757</v>
      </c>
      <c r="E845" t="s">
        <v>965</v>
      </c>
      <c r="F845" t="s">
        <v>1071</v>
      </c>
      <c r="G845" t="s">
        <v>979</v>
      </c>
      <c r="H845">
        <v>9.6820000000000004</v>
      </c>
      <c r="J845">
        <v>107150001</v>
      </c>
      <c r="K845" s="2">
        <v>44868</v>
      </c>
      <c r="L845">
        <v>17</v>
      </c>
      <c r="M845">
        <v>1</v>
      </c>
      <c r="N845">
        <v>0</v>
      </c>
      <c r="O845">
        <v>5</v>
      </c>
      <c r="P845" t="s">
        <v>7</v>
      </c>
    </row>
    <row r="846" spans="1:16">
      <c r="A846" t="s">
        <v>1021</v>
      </c>
      <c r="B846" t="s">
        <v>1158</v>
      </c>
      <c r="C846">
        <v>8.9999999999999993E-3</v>
      </c>
      <c r="D846" t="s">
        <v>757</v>
      </c>
      <c r="E846" t="s">
        <v>965</v>
      </c>
      <c r="F846" t="s">
        <v>1056</v>
      </c>
      <c r="H846">
        <v>999.99900000000002</v>
      </c>
      <c r="J846">
        <v>107150004</v>
      </c>
      <c r="K846" s="2">
        <v>44869</v>
      </c>
      <c r="L846">
        <v>20</v>
      </c>
      <c r="M846">
        <v>1</v>
      </c>
      <c r="N846">
        <v>0</v>
      </c>
      <c r="O846">
        <v>3</v>
      </c>
      <c r="P846" t="s">
        <v>7</v>
      </c>
    </row>
    <row r="847" spans="1:16">
      <c r="A847" t="s">
        <v>1021</v>
      </c>
      <c r="B847" t="s">
        <v>1026</v>
      </c>
      <c r="C847">
        <v>0</v>
      </c>
      <c r="E847" t="s">
        <v>965</v>
      </c>
      <c r="G847" t="s">
        <v>1036</v>
      </c>
      <c r="H847">
        <v>0.64300000000000002</v>
      </c>
      <c r="J847">
        <v>107173187</v>
      </c>
      <c r="K847" s="2">
        <v>44390</v>
      </c>
      <c r="L847">
        <v>2</v>
      </c>
      <c r="M847">
        <v>1</v>
      </c>
      <c r="N847">
        <v>0</v>
      </c>
      <c r="O847">
        <v>5</v>
      </c>
      <c r="P847" t="s">
        <v>7</v>
      </c>
    </row>
    <row r="848" spans="1:16">
      <c r="A848" t="s">
        <v>1021</v>
      </c>
      <c r="B848" t="s">
        <v>965</v>
      </c>
      <c r="C848">
        <v>4.7E-2</v>
      </c>
      <c r="D848" t="s">
        <v>758</v>
      </c>
      <c r="E848" t="s">
        <v>1023</v>
      </c>
      <c r="F848" t="s">
        <v>1056</v>
      </c>
      <c r="G848" t="s">
        <v>961</v>
      </c>
      <c r="H848">
        <v>0.61799999999999999</v>
      </c>
      <c r="J848">
        <v>107173234</v>
      </c>
      <c r="K848" s="2">
        <v>44895</v>
      </c>
      <c r="L848">
        <v>17</v>
      </c>
      <c r="M848">
        <v>1</v>
      </c>
      <c r="N848">
        <v>0</v>
      </c>
      <c r="O848">
        <v>5</v>
      </c>
      <c r="P848" t="s">
        <v>3</v>
      </c>
    </row>
    <row r="849" spans="1:16">
      <c r="A849" t="s">
        <v>1021</v>
      </c>
      <c r="B849" t="s">
        <v>968</v>
      </c>
      <c r="C849">
        <v>0</v>
      </c>
      <c r="E849" t="s">
        <v>965</v>
      </c>
      <c r="F849" t="s">
        <v>964</v>
      </c>
      <c r="G849" t="s">
        <v>968</v>
      </c>
      <c r="H849">
        <v>7.75</v>
      </c>
      <c r="J849">
        <v>107173243</v>
      </c>
      <c r="K849" s="2">
        <v>44899</v>
      </c>
      <c r="L849">
        <v>24</v>
      </c>
      <c r="M849">
        <v>1</v>
      </c>
      <c r="N849">
        <v>7</v>
      </c>
      <c r="O849">
        <v>1</v>
      </c>
      <c r="P849" t="s">
        <v>7</v>
      </c>
    </row>
    <row r="850" spans="1:16">
      <c r="A850" t="s">
        <v>1021</v>
      </c>
      <c r="B850" t="s">
        <v>968</v>
      </c>
      <c r="C850">
        <v>0</v>
      </c>
      <c r="E850" t="s">
        <v>965</v>
      </c>
      <c r="G850" t="s">
        <v>968</v>
      </c>
      <c r="H850">
        <v>7.75</v>
      </c>
      <c r="J850">
        <v>107173244</v>
      </c>
      <c r="K850" s="2">
        <v>44898</v>
      </c>
      <c r="L850">
        <v>30</v>
      </c>
      <c r="M850">
        <v>1</v>
      </c>
      <c r="N850">
        <v>7</v>
      </c>
      <c r="O850">
        <v>5</v>
      </c>
      <c r="P850" t="s">
        <v>3</v>
      </c>
    </row>
    <row r="851" spans="1:16">
      <c r="A851" t="s">
        <v>1021</v>
      </c>
      <c r="B851" t="s">
        <v>965</v>
      </c>
      <c r="C851">
        <v>1.9E-2</v>
      </c>
      <c r="D851" t="s">
        <v>756</v>
      </c>
      <c r="E851" t="s">
        <v>1056</v>
      </c>
      <c r="F851" t="s">
        <v>1064</v>
      </c>
      <c r="G851" t="s">
        <v>961</v>
      </c>
      <c r="H851">
        <v>1.296</v>
      </c>
      <c r="J851">
        <v>107173196</v>
      </c>
      <c r="K851" s="2">
        <v>44376</v>
      </c>
      <c r="L851">
        <v>21</v>
      </c>
      <c r="M851">
        <v>1</v>
      </c>
      <c r="N851">
        <v>0</v>
      </c>
      <c r="O851">
        <v>1</v>
      </c>
      <c r="P851" t="s">
        <v>7</v>
      </c>
    </row>
    <row r="852" spans="1:16">
      <c r="A852" t="s">
        <v>1021</v>
      </c>
      <c r="B852" t="s">
        <v>1032</v>
      </c>
      <c r="C852">
        <v>0</v>
      </c>
      <c r="E852" t="s">
        <v>965</v>
      </c>
      <c r="F852" t="s">
        <v>979</v>
      </c>
      <c r="G852" t="s">
        <v>1032</v>
      </c>
      <c r="H852">
        <v>0.12</v>
      </c>
      <c r="J852">
        <v>107173208</v>
      </c>
      <c r="K852" s="2">
        <v>44476</v>
      </c>
      <c r="L852">
        <v>23</v>
      </c>
      <c r="M852">
        <v>2</v>
      </c>
      <c r="N852">
        <v>7</v>
      </c>
      <c r="O852">
        <v>1</v>
      </c>
      <c r="P852" t="s">
        <v>7</v>
      </c>
    </row>
    <row r="853" spans="1:16">
      <c r="A853" t="s">
        <v>1021</v>
      </c>
      <c r="B853" t="s">
        <v>968</v>
      </c>
      <c r="C853">
        <v>0</v>
      </c>
      <c r="E853" t="s">
        <v>965</v>
      </c>
      <c r="F853" t="s">
        <v>963</v>
      </c>
      <c r="G853" t="s">
        <v>968</v>
      </c>
      <c r="H853">
        <v>7.75</v>
      </c>
      <c r="J853">
        <v>107173202</v>
      </c>
      <c r="K853" s="2">
        <v>44749</v>
      </c>
      <c r="L853">
        <v>21</v>
      </c>
      <c r="M853">
        <v>1</v>
      </c>
      <c r="N853">
        <v>7</v>
      </c>
      <c r="O853">
        <v>1</v>
      </c>
      <c r="P853" t="s">
        <v>7</v>
      </c>
    </row>
    <row r="854" spans="1:16">
      <c r="A854" t="s">
        <v>1021</v>
      </c>
      <c r="B854" t="s">
        <v>965</v>
      </c>
      <c r="C854">
        <v>0</v>
      </c>
      <c r="E854" t="s">
        <v>1023</v>
      </c>
      <c r="G854" t="s">
        <v>961</v>
      </c>
      <c r="H854">
        <v>0.66500000000000004</v>
      </c>
      <c r="J854">
        <v>107173227</v>
      </c>
      <c r="K854" s="2">
        <v>44891</v>
      </c>
      <c r="L854">
        <v>30</v>
      </c>
      <c r="M854">
        <v>1</v>
      </c>
      <c r="N854">
        <v>7</v>
      </c>
      <c r="O854">
        <v>1</v>
      </c>
      <c r="P854" t="s">
        <v>7</v>
      </c>
    </row>
    <row r="855" spans="1:16">
      <c r="A855" t="s">
        <v>1021</v>
      </c>
      <c r="B855" t="s">
        <v>965</v>
      </c>
      <c r="C855">
        <v>0.5</v>
      </c>
      <c r="D855" t="s">
        <v>756</v>
      </c>
      <c r="E855" t="s">
        <v>968</v>
      </c>
      <c r="F855" t="s">
        <v>1159</v>
      </c>
      <c r="G855" t="s">
        <v>961</v>
      </c>
      <c r="H855">
        <v>0.5</v>
      </c>
      <c r="J855">
        <v>107173238</v>
      </c>
      <c r="K855" s="2">
        <v>44897</v>
      </c>
      <c r="L855">
        <v>17</v>
      </c>
      <c r="M855">
        <v>1</v>
      </c>
      <c r="N855">
        <v>0</v>
      </c>
      <c r="O855">
        <v>1</v>
      </c>
      <c r="P855" t="s">
        <v>7</v>
      </c>
    </row>
    <row r="856" spans="1:16">
      <c r="A856" t="s">
        <v>1021</v>
      </c>
      <c r="B856" t="s">
        <v>1160</v>
      </c>
      <c r="C856">
        <v>8.9999999999999993E-3</v>
      </c>
      <c r="D856" t="s">
        <v>6</v>
      </c>
      <c r="E856" t="s">
        <v>965</v>
      </c>
      <c r="F856" t="s">
        <v>1040</v>
      </c>
      <c r="H856">
        <v>999.99900000000002</v>
      </c>
      <c r="J856">
        <v>107173185</v>
      </c>
      <c r="K856" s="2">
        <v>44890</v>
      </c>
      <c r="L856">
        <v>31</v>
      </c>
      <c r="M856">
        <v>1</v>
      </c>
      <c r="N856">
        <v>0</v>
      </c>
      <c r="O856">
        <v>1</v>
      </c>
      <c r="P856" t="s">
        <v>7</v>
      </c>
    </row>
    <row r="857" spans="1:16">
      <c r="A857" t="s">
        <v>1021</v>
      </c>
      <c r="B857" t="s">
        <v>965</v>
      </c>
      <c r="C857">
        <v>0.2</v>
      </c>
      <c r="D857" t="s">
        <v>758</v>
      </c>
      <c r="E857" t="s">
        <v>1056</v>
      </c>
      <c r="F857" t="s">
        <v>1023</v>
      </c>
      <c r="G857" t="s">
        <v>961</v>
      </c>
      <c r="H857">
        <v>1.077</v>
      </c>
      <c r="J857">
        <v>107173186</v>
      </c>
      <c r="K857" s="2">
        <v>44763</v>
      </c>
      <c r="L857">
        <v>21</v>
      </c>
      <c r="M857">
        <v>1</v>
      </c>
      <c r="N857">
        <v>12</v>
      </c>
      <c r="O857">
        <v>1</v>
      </c>
      <c r="P857" t="s">
        <v>3</v>
      </c>
    </row>
    <row r="858" spans="1:16">
      <c r="A858" t="s">
        <v>1021</v>
      </c>
      <c r="B858" t="s">
        <v>965</v>
      </c>
      <c r="C858">
        <v>0</v>
      </c>
      <c r="D858" t="s">
        <v>6</v>
      </c>
      <c r="E858" t="s">
        <v>1067</v>
      </c>
      <c r="G858" t="s">
        <v>965</v>
      </c>
      <c r="H858">
        <v>999.99900000000002</v>
      </c>
      <c r="J858">
        <v>107288111</v>
      </c>
      <c r="K858" s="2">
        <v>45016</v>
      </c>
      <c r="L858">
        <v>30</v>
      </c>
      <c r="M858">
        <v>1</v>
      </c>
      <c r="N858">
        <v>7</v>
      </c>
      <c r="O858">
        <v>1</v>
      </c>
      <c r="P858" t="s">
        <v>7</v>
      </c>
    </row>
    <row r="859" spans="1:16">
      <c r="A859" t="s">
        <v>1021</v>
      </c>
      <c r="B859" t="s">
        <v>968</v>
      </c>
      <c r="C859">
        <v>2E-3</v>
      </c>
      <c r="D859" t="s">
        <v>757</v>
      </c>
      <c r="E859" t="s">
        <v>964</v>
      </c>
      <c r="F859" t="s">
        <v>985</v>
      </c>
      <c r="G859" t="s">
        <v>968</v>
      </c>
      <c r="H859">
        <v>8.1229999999999993</v>
      </c>
      <c r="J859">
        <v>107247149</v>
      </c>
      <c r="K859" s="2">
        <v>44973</v>
      </c>
      <c r="L859">
        <v>21</v>
      </c>
      <c r="M859">
        <v>1</v>
      </c>
      <c r="N859">
        <v>7</v>
      </c>
      <c r="O859">
        <v>1</v>
      </c>
      <c r="P859" t="s">
        <v>3</v>
      </c>
    </row>
    <row r="860" spans="1:16">
      <c r="A860" t="s">
        <v>1021</v>
      </c>
      <c r="B860" t="s">
        <v>1112</v>
      </c>
      <c r="C860">
        <v>2.8000000000000001E-2</v>
      </c>
      <c r="D860" t="s">
        <v>757</v>
      </c>
      <c r="E860" t="s">
        <v>965</v>
      </c>
      <c r="F860" t="s">
        <v>1071</v>
      </c>
      <c r="H860">
        <v>999.99900000000002</v>
      </c>
      <c r="J860">
        <v>107267751</v>
      </c>
      <c r="K860" s="2">
        <v>44994</v>
      </c>
      <c r="L860">
        <v>20</v>
      </c>
      <c r="M860">
        <v>1</v>
      </c>
      <c r="N860">
        <v>0</v>
      </c>
      <c r="O860">
        <v>1</v>
      </c>
      <c r="P860" t="s">
        <v>7</v>
      </c>
    </row>
    <row r="861" spans="1:16">
      <c r="A861" t="s">
        <v>1021</v>
      </c>
      <c r="B861" t="s">
        <v>965</v>
      </c>
      <c r="C861">
        <v>8.9999999999999993E-3</v>
      </c>
      <c r="D861" t="s">
        <v>756</v>
      </c>
      <c r="E861" t="s">
        <v>1080</v>
      </c>
      <c r="F861" t="s">
        <v>967</v>
      </c>
      <c r="G861" t="s">
        <v>961</v>
      </c>
      <c r="H861">
        <v>8.9999999999999993E-3</v>
      </c>
      <c r="J861">
        <v>107205129</v>
      </c>
      <c r="K861" s="2">
        <v>44933</v>
      </c>
      <c r="L861">
        <v>21</v>
      </c>
      <c r="M861">
        <v>1</v>
      </c>
      <c r="N861">
        <v>0</v>
      </c>
      <c r="O861">
        <v>1</v>
      </c>
      <c r="P861" t="s">
        <v>7</v>
      </c>
    </row>
    <row r="862" spans="1:16">
      <c r="A862" t="s">
        <v>1021</v>
      </c>
      <c r="B862" t="s">
        <v>966</v>
      </c>
      <c r="C862">
        <v>0.61</v>
      </c>
      <c r="D862" t="s">
        <v>758</v>
      </c>
      <c r="E862" t="s">
        <v>1028</v>
      </c>
      <c r="F862" t="s">
        <v>967</v>
      </c>
      <c r="H862">
        <v>999.99900000000002</v>
      </c>
      <c r="J862">
        <v>107205109</v>
      </c>
      <c r="K862" s="2">
        <v>44760</v>
      </c>
      <c r="L862">
        <v>30</v>
      </c>
      <c r="M862">
        <v>1</v>
      </c>
      <c r="N862">
        <v>7</v>
      </c>
      <c r="O862">
        <v>1</v>
      </c>
      <c r="P862" t="s">
        <v>3</v>
      </c>
    </row>
    <row r="863" spans="1:16">
      <c r="A863" t="s">
        <v>1021</v>
      </c>
      <c r="B863" t="s">
        <v>966</v>
      </c>
      <c r="C863">
        <v>0</v>
      </c>
      <c r="E863" t="s">
        <v>1050</v>
      </c>
      <c r="F863" t="s">
        <v>966</v>
      </c>
      <c r="G863" t="s">
        <v>969</v>
      </c>
      <c r="H863">
        <v>1.75</v>
      </c>
      <c r="J863">
        <v>107308067</v>
      </c>
      <c r="K863" s="2">
        <v>45035</v>
      </c>
      <c r="L863">
        <v>31</v>
      </c>
      <c r="M863">
        <v>1</v>
      </c>
      <c r="N863">
        <v>7</v>
      </c>
      <c r="O863">
        <v>1</v>
      </c>
      <c r="P863" t="s">
        <v>7</v>
      </c>
    </row>
    <row r="864" spans="1:16">
      <c r="A864" t="s">
        <v>1021</v>
      </c>
      <c r="B864" t="s">
        <v>967</v>
      </c>
      <c r="C864">
        <v>0.11</v>
      </c>
      <c r="D864" t="s">
        <v>6</v>
      </c>
      <c r="E864" t="s">
        <v>1161</v>
      </c>
      <c r="F864" t="s">
        <v>965</v>
      </c>
      <c r="H864">
        <v>999.99900000000002</v>
      </c>
      <c r="J864">
        <v>107822418</v>
      </c>
      <c r="K864" s="2">
        <v>45523</v>
      </c>
      <c r="L864">
        <v>21</v>
      </c>
      <c r="M864">
        <v>1</v>
      </c>
      <c r="N864">
        <v>12</v>
      </c>
      <c r="O864">
        <v>1</v>
      </c>
      <c r="P864" t="s">
        <v>7</v>
      </c>
    </row>
    <row r="865" spans="1:16">
      <c r="A865" t="s">
        <v>1021</v>
      </c>
      <c r="B865" t="s">
        <v>965</v>
      </c>
      <c r="C865">
        <v>9.8000000000000004E-2</v>
      </c>
      <c r="D865" t="s">
        <v>756</v>
      </c>
      <c r="E865" t="s">
        <v>1052</v>
      </c>
      <c r="F865" t="s">
        <v>1064</v>
      </c>
      <c r="G865" t="s">
        <v>961</v>
      </c>
      <c r="H865">
        <v>1.5289999999999999</v>
      </c>
      <c r="J865">
        <v>107303579</v>
      </c>
      <c r="K865" s="2">
        <v>45032</v>
      </c>
      <c r="L865">
        <v>21</v>
      </c>
      <c r="M865">
        <v>1</v>
      </c>
      <c r="N865">
        <v>1</v>
      </c>
      <c r="O865">
        <v>4</v>
      </c>
      <c r="P865" t="s">
        <v>7</v>
      </c>
    </row>
    <row r="866" spans="1:16">
      <c r="A866" t="s">
        <v>1021</v>
      </c>
      <c r="B866" t="s">
        <v>965</v>
      </c>
      <c r="C866">
        <v>0</v>
      </c>
      <c r="D866" t="s">
        <v>757</v>
      </c>
      <c r="E866" t="s">
        <v>1054</v>
      </c>
      <c r="F866" t="s">
        <v>1032</v>
      </c>
      <c r="G866" t="s">
        <v>961</v>
      </c>
      <c r="H866">
        <v>1.7230000000000001</v>
      </c>
      <c r="J866">
        <v>107324068</v>
      </c>
      <c r="K866" s="2">
        <v>45050</v>
      </c>
      <c r="L866">
        <v>30</v>
      </c>
      <c r="M866">
        <v>1</v>
      </c>
      <c r="N866">
        <v>8</v>
      </c>
      <c r="O866">
        <v>1</v>
      </c>
      <c r="P866" t="s">
        <v>7</v>
      </c>
    </row>
    <row r="867" spans="1:16">
      <c r="A867" t="s">
        <v>1021</v>
      </c>
      <c r="B867" t="s">
        <v>965</v>
      </c>
      <c r="C867">
        <v>3.4000000000000002E-2</v>
      </c>
      <c r="D867" t="s">
        <v>756</v>
      </c>
      <c r="E867" t="s">
        <v>968</v>
      </c>
      <c r="F867" t="s">
        <v>963</v>
      </c>
      <c r="G867" t="s">
        <v>961</v>
      </c>
      <c r="H867">
        <v>3.4000000000000002E-2</v>
      </c>
      <c r="J867">
        <v>107316179</v>
      </c>
      <c r="K867" s="2">
        <v>45027</v>
      </c>
      <c r="L867">
        <v>28</v>
      </c>
      <c r="M867">
        <v>1</v>
      </c>
      <c r="N867">
        <v>0</v>
      </c>
      <c r="O867">
        <v>1</v>
      </c>
      <c r="P867" t="s">
        <v>8</v>
      </c>
    </row>
    <row r="868" spans="1:16">
      <c r="A868" t="s">
        <v>1021</v>
      </c>
      <c r="B868" t="s">
        <v>965</v>
      </c>
      <c r="C868">
        <v>5.7000000000000002E-2</v>
      </c>
      <c r="D868" t="s">
        <v>765</v>
      </c>
      <c r="E868" t="s">
        <v>1056</v>
      </c>
      <c r="F868" t="s">
        <v>1039</v>
      </c>
      <c r="G868" t="s">
        <v>961</v>
      </c>
      <c r="H868">
        <v>1.22</v>
      </c>
      <c r="J868">
        <v>107333434</v>
      </c>
      <c r="K868" s="2">
        <v>45058</v>
      </c>
      <c r="L868">
        <v>28</v>
      </c>
      <c r="M868">
        <v>1</v>
      </c>
      <c r="N868">
        <v>0</v>
      </c>
      <c r="O868">
        <v>1</v>
      </c>
      <c r="P868" t="s">
        <v>7</v>
      </c>
    </row>
    <row r="869" spans="1:16">
      <c r="A869" t="s">
        <v>1021</v>
      </c>
      <c r="B869" t="s">
        <v>965</v>
      </c>
      <c r="C869">
        <v>8.9999999999999993E-3</v>
      </c>
      <c r="D869" t="s">
        <v>756</v>
      </c>
      <c r="E869" t="s">
        <v>986</v>
      </c>
      <c r="F869" t="s">
        <v>968</v>
      </c>
      <c r="H869">
        <v>999.99900000000002</v>
      </c>
      <c r="J869">
        <v>108566465</v>
      </c>
      <c r="K869" s="2">
        <v>46225</v>
      </c>
      <c r="L869">
        <v>28</v>
      </c>
      <c r="M869">
        <v>1</v>
      </c>
      <c r="N869">
        <v>0</v>
      </c>
      <c r="O869">
        <v>1</v>
      </c>
      <c r="P869" t="s">
        <v>7</v>
      </c>
    </row>
    <row r="870" spans="1:16">
      <c r="A870" t="s">
        <v>1021</v>
      </c>
      <c r="B870" t="s">
        <v>968</v>
      </c>
      <c r="C870">
        <v>1.4E-2</v>
      </c>
      <c r="D870" t="s">
        <v>757</v>
      </c>
      <c r="E870" t="s">
        <v>964</v>
      </c>
      <c r="F870" t="s">
        <v>985</v>
      </c>
      <c r="G870" t="s">
        <v>968</v>
      </c>
      <c r="H870">
        <v>8.1349999999999998</v>
      </c>
      <c r="J870">
        <v>107345539</v>
      </c>
      <c r="K870" s="2">
        <v>45072</v>
      </c>
      <c r="L870">
        <v>21</v>
      </c>
      <c r="M870">
        <v>1</v>
      </c>
      <c r="N870">
        <v>0</v>
      </c>
      <c r="O870">
        <v>1</v>
      </c>
      <c r="P870" t="s">
        <v>7</v>
      </c>
    </row>
    <row r="871" spans="1:16">
      <c r="A871" t="s">
        <v>1021</v>
      </c>
      <c r="B871" t="s">
        <v>965</v>
      </c>
      <c r="C871">
        <v>0</v>
      </c>
      <c r="E871" t="s">
        <v>968</v>
      </c>
      <c r="F871" t="s">
        <v>963</v>
      </c>
      <c r="G871" t="s">
        <v>962</v>
      </c>
      <c r="H871">
        <v>2.1920000000000002</v>
      </c>
      <c r="J871">
        <v>107281990</v>
      </c>
      <c r="K871" s="2">
        <v>45010</v>
      </c>
      <c r="L871">
        <v>21</v>
      </c>
      <c r="M871">
        <v>2</v>
      </c>
      <c r="N871">
        <v>7</v>
      </c>
      <c r="O871">
        <v>1</v>
      </c>
      <c r="P871" t="s">
        <v>3</v>
      </c>
    </row>
    <row r="872" spans="1:16">
      <c r="A872" t="s">
        <v>1021</v>
      </c>
      <c r="B872" t="s">
        <v>1022</v>
      </c>
      <c r="C872">
        <v>2.1999999999999999E-2</v>
      </c>
      <c r="D872" t="s">
        <v>757</v>
      </c>
      <c r="E872" t="s">
        <v>965</v>
      </c>
      <c r="H872">
        <v>999.99900000000002</v>
      </c>
      <c r="J872">
        <v>107317615</v>
      </c>
      <c r="K872" s="2">
        <v>45045</v>
      </c>
      <c r="L872">
        <v>25</v>
      </c>
      <c r="M872">
        <v>1</v>
      </c>
      <c r="N872">
        <v>0</v>
      </c>
      <c r="O872">
        <v>1</v>
      </c>
      <c r="P872" t="s">
        <v>7</v>
      </c>
    </row>
    <row r="873" spans="1:16">
      <c r="A873" t="s">
        <v>1021</v>
      </c>
      <c r="B873" t="s">
        <v>1150</v>
      </c>
      <c r="C873">
        <v>2.7E-2</v>
      </c>
      <c r="D873" t="s">
        <v>6</v>
      </c>
      <c r="E873" t="s">
        <v>965</v>
      </c>
      <c r="F873" t="s">
        <v>1035</v>
      </c>
      <c r="H873">
        <v>999.99900000000002</v>
      </c>
      <c r="J873">
        <v>107330022</v>
      </c>
      <c r="K873" s="2">
        <v>45056</v>
      </c>
      <c r="L873">
        <v>31</v>
      </c>
      <c r="M873">
        <v>1</v>
      </c>
      <c r="N873">
        <v>0</v>
      </c>
      <c r="O873">
        <v>1</v>
      </c>
      <c r="P873" t="s">
        <v>7</v>
      </c>
    </row>
    <row r="874" spans="1:16">
      <c r="A874" t="s">
        <v>1021</v>
      </c>
      <c r="B874" t="s">
        <v>965</v>
      </c>
      <c r="C874">
        <v>0</v>
      </c>
      <c r="E874" t="s">
        <v>1023</v>
      </c>
      <c r="F874" t="s">
        <v>967</v>
      </c>
      <c r="G874" t="s">
        <v>961</v>
      </c>
      <c r="H874">
        <v>0.66500000000000004</v>
      </c>
      <c r="J874">
        <v>107254035</v>
      </c>
      <c r="K874" s="2">
        <v>44982</v>
      </c>
      <c r="L874">
        <v>28</v>
      </c>
      <c r="M874">
        <v>1</v>
      </c>
      <c r="N874">
        <v>0</v>
      </c>
      <c r="O874">
        <v>1</v>
      </c>
      <c r="P874" t="s">
        <v>7</v>
      </c>
    </row>
    <row r="875" spans="1:16">
      <c r="A875" t="s">
        <v>1021</v>
      </c>
      <c r="B875" t="s">
        <v>965</v>
      </c>
      <c r="C875">
        <v>0</v>
      </c>
      <c r="E875" t="s">
        <v>1062</v>
      </c>
      <c r="F875" t="s">
        <v>1162</v>
      </c>
      <c r="G875" t="s">
        <v>1063</v>
      </c>
      <c r="H875">
        <v>0.53900000000000003</v>
      </c>
      <c r="J875">
        <v>107290280</v>
      </c>
      <c r="K875" s="2">
        <v>45019</v>
      </c>
      <c r="L875">
        <v>21</v>
      </c>
      <c r="M875">
        <v>1</v>
      </c>
      <c r="N875">
        <v>0</v>
      </c>
      <c r="O875">
        <v>1</v>
      </c>
      <c r="P875" t="s">
        <v>7</v>
      </c>
    </row>
    <row r="876" spans="1:16">
      <c r="A876" t="s">
        <v>1021</v>
      </c>
      <c r="B876" t="s">
        <v>1044</v>
      </c>
      <c r="C876">
        <v>0.01</v>
      </c>
      <c r="D876" t="s">
        <v>757</v>
      </c>
      <c r="E876" t="s">
        <v>965</v>
      </c>
      <c r="H876">
        <v>999.99900000000002</v>
      </c>
      <c r="J876">
        <v>107288112</v>
      </c>
      <c r="K876" s="2">
        <v>45016</v>
      </c>
      <c r="L876">
        <v>14</v>
      </c>
      <c r="M876">
        <v>1</v>
      </c>
      <c r="N876">
        <v>4</v>
      </c>
      <c r="O876">
        <v>1</v>
      </c>
      <c r="P876" t="s">
        <v>3</v>
      </c>
    </row>
    <row r="877" spans="1:16">
      <c r="A877" t="s">
        <v>1021</v>
      </c>
      <c r="B877" t="s">
        <v>965</v>
      </c>
      <c r="C877">
        <v>0</v>
      </c>
      <c r="E877" t="s">
        <v>963</v>
      </c>
      <c r="F877" t="s">
        <v>1023</v>
      </c>
      <c r="G877" t="s">
        <v>961</v>
      </c>
      <c r="H877">
        <v>0.21099999999999999</v>
      </c>
      <c r="J877">
        <v>107272557</v>
      </c>
      <c r="K877" s="2">
        <v>44999</v>
      </c>
      <c r="L877">
        <v>30</v>
      </c>
      <c r="M877">
        <v>1</v>
      </c>
      <c r="N877">
        <v>7</v>
      </c>
      <c r="O877">
        <v>1</v>
      </c>
      <c r="P877" t="s">
        <v>3</v>
      </c>
    </row>
    <row r="878" spans="1:16">
      <c r="A878" t="s">
        <v>1021</v>
      </c>
      <c r="B878" t="s">
        <v>967</v>
      </c>
      <c r="C878">
        <v>1.9E-2</v>
      </c>
      <c r="D878" t="s">
        <v>757</v>
      </c>
      <c r="E878" t="s">
        <v>1029</v>
      </c>
      <c r="F878" t="s">
        <v>966</v>
      </c>
      <c r="G878" t="s">
        <v>960</v>
      </c>
      <c r="H878">
        <v>0.89200000000000002</v>
      </c>
      <c r="J878">
        <v>107314311</v>
      </c>
      <c r="K878" s="2">
        <v>45042</v>
      </c>
      <c r="L878">
        <v>21</v>
      </c>
      <c r="M878">
        <v>2</v>
      </c>
      <c r="N878">
        <v>0</v>
      </c>
      <c r="O878">
        <v>1</v>
      </c>
      <c r="P878" t="s">
        <v>3</v>
      </c>
    </row>
    <row r="879" spans="1:16">
      <c r="A879" t="s">
        <v>1021</v>
      </c>
      <c r="B879" t="s">
        <v>968</v>
      </c>
      <c r="C879">
        <v>1.9E-2</v>
      </c>
      <c r="D879" t="s">
        <v>6</v>
      </c>
      <c r="E879" t="s">
        <v>962</v>
      </c>
      <c r="F879" t="s">
        <v>1163</v>
      </c>
      <c r="G879" t="s">
        <v>968</v>
      </c>
      <c r="H879">
        <v>7.7309999999999999</v>
      </c>
      <c r="J879">
        <v>107238351</v>
      </c>
      <c r="K879" s="2">
        <v>44961</v>
      </c>
      <c r="L879">
        <v>28</v>
      </c>
      <c r="M879">
        <v>1</v>
      </c>
      <c r="N879">
        <v>7</v>
      </c>
      <c r="O879">
        <v>1</v>
      </c>
      <c r="P879" t="s">
        <v>7</v>
      </c>
    </row>
    <row r="880" spans="1:16">
      <c r="A880" t="s">
        <v>1021</v>
      </c>
      <c r="B880" t="s">
        <v>1022</v>
      </c>
      <c r="C880">
        <v>8.9999999999999993E-3</v>
      </c>
      <c r="D880" t="s">
        <v>757</v>
      </c>
      <c r="E880" t="s">
        <v>965</v>
      </c>
      <c r="H880">
        <v>999.99900000000002</v>
      </c>
      <c r="J880">
        <v>107240299</v>
      </c>
      <c r="K880" s="2">
        <v>44968</v>
      </c>
      <c r="L880">
        <v>28</v>
      </c>
      <c r="M880">
        <v>1</v>
      </c>
      <c r="N880">
        <v>8</v>
      </c>
      <c r="O880">
        <v>1</v>
      </c>
      <c r="P880" t="s">
        <v>7</v>
      </c>
    </row>
    <row r="881" spans="1:16">
      <c r="A881" t="s">
        <v>1021</v>
      </c>
      <c r="B881" t="s">
        <v>1029</v>
      </c>
      <c r="C881">
        <v>1.9E-2</v>
      </c>
      <c r="D881" t="s">
        <v>756</v>
      </c>
      <c r="E881" t="s">
        <v>967</v>
      </c>
      <c r="F881" t="s">
        <v>1164</v>
      </c>
      <c r="H881">
        <v>999.99900000000002</v>
      </c>
      <c r="J881">
        <v>108474754</v>
      </c>
      <c r="K881" s="2">
        <v>46134</v>
      </c>
      <c r="L881">
        <v>19</v>
      </c>
      <c r="M881">
        <v>1</v>
      </c>
      <c r="N881">
        <v>0</v>
      </c>
      <c r="O881">
        <v>1</v>
      </c>
      <c r="P881" t="s">
        <v>7</v>
      </c>
    </row>
    <row r="882" spans="1:16">
      <c r="A882" t="s">
        <v>1021</v>
      </c>
      <c r="B882" t="s">
        <v>968</v>
      </c>
      <c r="C882">
        <v>1.9E-2</v>
      </c>
      <c r="D882" t="s">
        <v>765</v>
      </c>
      <c r="E882" t="s">
        <v>965</v>
      </c>
      <c r="G882" t="s">
        <v>968</v>
      </c>
      <c r="H882">
        <v>7.7690000000000001</v>
      </c>
      <c r="J882">
        <v>107260671</v>
      </c>
      <c r="K882" s="2">
        <v>44989</v>
      </c>
      <c r="L882">
        <v>21</v>
      </c>
      <c r="M882">
        <v>1</v>
      </c>
      <c r="N882">
        <v>7</v>
      </c>
      <c r="O882">
        <v>2</v>
      </c>
      <c r="P882" t="s">
        <v>7</v>
      </c>
    </row>
    <row r="883" spans="1:16">
      <c r="A883" t="s">
        <v>1021</v>
      </c>
      <c r="B883" t="s">
        <v>965</v>
      </c>
      <c r="C883">
        <v>7.4999999999999997E-2</v>
      </c>
      <c r="D883" t="s">
        <v>756</v>
      </c>
      <c r="E883" t="s">
        <v>1032</v>
      </c>
      <c r="F883" t="s">
        <v>1035</v>
      </c>
      <c r="G883" t="s">
        <v>1036</v>
      </c>
      <c r="H883">
        <v>0.505</v>
      </c>
      <c r="J883">
        <v>107233455</v>
      </c>
      <c r="K883" s="2">
        <v>44961</v>
      </c>
      <c r="L883">
        <v>21</v>
      </c>
      <c r="M883">
        <v>1</v>
      </c>
      <c r="N883">
        <v>7</v>
      </c>
      <c r="O883">
        <v>1</v>
      </c>
      <c r="P883" t="s">
        <v>7</v>
      </c>
    </row>
    <row r="884" spans="1:16">
      <c r="A884" t="s">
        <v>1021</v>
      </c>
      <c r="B884" t="s">
        <v>968</v>
      </c>
      <c r="C884">
        <v>2.5000000000000001E-2</v>
      </c>
      <c r="D884" t="s">
        <v>765</v>
      </c>
      <c r="E884" t="s">
        <v>965</v>
      </c>
      <c r="F884" t="s">
        <v>1072</v>
      </c>
      <c r="G884" t="s">
        <v>968</v>
      </c>
      <c r="H884">
        <v>7.7750000000000004</v>
      </c>
      <c r="J884">
        <v>107276706</v>
      </c>
      <c r="K884" s="2">
        <v>45005</v>
      </c>
      <c r="L884">
        <v>21</v>
      </c>
      <c r="M884">
        <v>1</v>
      </c>
      <c r="N884">
        <v>7</v>
      </c>
      <c r="O884">
        <v>1</v>
      </c>
      <c r="P884" t="s">
        <v>7</v>
      </c>
    </row>
    <row r="885" spans="1:16">
      <c r="A885" t="s">
        <v>1021</v>
      </c>
      <c r="B885" t="s">
        <v>965</v>
      </c>
      <c r="C885">
        <v>1.9E-2</v>
      </c>
      <c r="D885" t="s">
        <v>765</v>
      </c>
      <c r="E885" t="s">
        <v>979</v>
      </c>
      <c r="F885" t="s">
        <v>1052</v>
      </c>
      <c r="G885" t="s">
        <v>961</v>
      </c>
      <c r="H885">
        <v>1.577</v>
      </c>
      <c r="J885">
        <v>107251476</v>
      </c>
      <c r="K885" s="2">
        <v>44979</v>
      </c>
      <c r="L885">
        <v>30</v>
      </c>
      <c r="M885">
        <v>1</v>
      </c>
      <c r="N885">
        <v>8</v>
      </c>
      <c r="O885">
        <v>1</v>
      </c>
      <c r="P885" t="s">
        <v>7</v>
      </c>
    </row>
    <row r="886" spans="1:16">
      <c r="A886" t="s">
        <v>1021</v>
      </c>
      <c r="B886" t="s">
        <v>965</v>
      </c>
      <c r="C886">
        <v>3.7999999999999999E-2</v>
      </c>
      <c r="D886" t="s">
        <v>758</v>
      </c>
      <c r="E886" t="s">
        <v>1020</v>
      </c>
      <c r="F886" t="s">
        <v>967</v>
      </c>
      <c r="G886" t="s">
        <v>961</v>
      </c>
      <c r="H886">
        <v>0.30199999999999999</v>
      </c>
      <c r="J886">
        <v>107249218</v>
      </c>
      <c r="K886" s="2">
        <v>44977</v>
      </c>
      <c r="L886">
        <v>21</v>
      </c>
      <c r="M886">
        <v>1</v>
      </c>
      <c r="N886">
        <v>7</v>
      </c>
      <c r="O886">
        <v>1</v>
      </c>
      <c r="P886" t="s">
        <v>7</v>
      </c>
    </row>
    <row r="887" spans="1:16">
      <c r="A887" t="s">
        <v>1021</v>
      </c>
      <c r="B887" t="s">
        <v>966</v>
      </c>
      <c r="C887">
        <v>0</v>
      </c>
      <c r="E887" t="s">
        <v>1132</v>
      </c>
      <c r="F887" t="s">
        <v>1165</v>
      </c>
      <c r="G887" t="s">
        <v>1153</v>
      </c>
      <c r="H887">
        <v>7.5110000000000001</v>
      </c>
      <c r="J887">
        <v>107250315</v>
      </c>
      <c r="K887" s="2">
        <v>44978</v>
      </c>
      <c r="L887">
        <v>21</v>
      </c>
      <c r="M887">
        <v>1</v>
      </c>
      <c r="N887">
        <v>8</v>
      </c>
      <c r="O887">
        <v>1</v>
      </c>
      <c r="P887" t="s">
        <v>7</v>
      </c>
    </row>
    <row r="888" spans="1:16">
      <c r="A888" t="s">
        <v>1021</v>
      </c>
      <c r="B888" t="s">
        <v>965</v>
      </c>
      <c r="C888">
        <v>0</v>
      </c>
      <c r="E888" t="s">
        <v>968</v>
      </c>
      <c r="G888" t="s">
        <v>962</v>
      </c>
      <c r="H888">
        <v>2.1920000000000002</v>
      </c>
      <c r="J888">
        <v>107218368</v>
      </c>
      <c r="K888" s="2">
        <v>44945</v>
      </c>
      <c r="L888">
        <v>28</v>
      </c>
      <c r="M888">
        <v>1</v>
      </c>
      <c r="N888">
        <v>0</v>
      </c>
      <c r="O888">
        <v>4</v>
      </c>
      <c r="P888" t="s">
        <v>7</v>
      </c>
    </row>
    <row r="889" spans="1:16">
      <c r="A889" t="s">
        <v>1021</v>
      </c>
      <c r="B889" t="s">
        <v>965</v>
      </c>
      <c r="C889">
        <v>8.9999999999999993E-3</v>
      </c>
      <c r="D889" t="s">
        <v>757</v>
      </c>
      <c r="E889" t="s">
        <v>1032</v>
      </c>
      <c r="F889" t="s">
        <v>1071</v>
      </c>
      <c r="G889" t="s">
        <v>961</v>
      </c>
      <c r="H889">
        <v>1.8340000000000001</v>
      </c>
      <c r="J889">
        <v>108170642</v>
      </c>
      <c r="K889" s="2">
        <v>45852</v>
      </c>
      <c r="L889">
        <v>30</v>
      </c>
      <c r="M889">
        <v>1</v>
      </c>
      <c r="N889">
        <v>0</v>
      </c>
      <c r="O889">
        <v>1</v>
      </c>
      <c r="P889" t="s">
        <v>7</v>
      </c>
    </row>
    <row r="890" spans="1:16">
      <c r="A890" t="s">
        <v>1021</v>
      </c>
      <c r="B890" t="s">
        <v>965</v>
      </c>
      <c r="C890">
        <v>8.5000000000000006E-2</v>
      </c>
      <c r="D890" t="s">
        <v>758</v>
      </c>
      <c r="E890" t="s">
        <v>1039</v>
      </c>
      <c r="F890" t="s">
        <v>1023</v>
      </c>
      <c r="G890" t="s">
        <v>961</v>
      </c>
      <c r="H890">
        <v>0.754</v>
      </c>
      <c r="J890">
        <v>107252249</v>
      </c>
      <c r="K890" s="2">
        <v>44979</v>
      </c>
      <c r="L890">
        <v>30</v>
      </c>
      <c r="M890">
        <v>1</v>
      </c>
      <c r="N890">
        <v>7</v>
      </c>
      <c r="O890">
        <v>1</v>
      </c>
      <c r="P890" t="s">
        <v>3</v>
      </c>
    </row>
    <row r="891" spans="1:16">
      <c r="A891" t="s">
        <v>1021</v>
      </c>
      <c r="B891" t="s">
        <v>965</v>
      </c>
      <c r="C891">
        <v>0.1</v>
      </c>
      <c r="D891" t="s">
        <v>758</v>
      </c>
      <c r="E891" t="s">
        <v>967</v>
      </c>
      <c r="F891" t="s">
        <v>968</v>
      </c>
      <c r="G891" t="s">
        <v>961</v>
      </c>
      <c r="H891">
        <v>0.111</v>
      </c>
      <c r="J891">
        <v>107251468</v>
      </c>
      <c r="K891" s="2">
        <v>44979</v>
      </c>
      <c r="L891">
        <v>30</v>
      </c>
      <c r="M891">
        <v>1</v>
      </c>
      <c r="N891">
        <v>8</v>
      </c>
      <c r="O891">
        <v>1</v>
      </c>
      <c r="P891" t="s">
        <v>3</v>
      </c>
    </row>
    <row r="892" spans="1:16">
      <c r="A892" t="s">
        <v>1021</v>
      </c>
      <c r="B892" t="s">
        <v>965</v>
      </c>
      <c r="C892">
        <v>8.0000000000000002E-3</v>
      </c>
      <c r="D892" t="s">
        <v>758</v>
      </c>
      <c r="E892" t="s">
        <v>1020</v>
      </c>
      <c r="F892" t="s">
        <v>967</v>
      </c>
      <c r="G892" t="s">
        <v>961</v>
      </c>
      <c r="H892">
        <v>0.33200000000000002</v>
      </c>
      <c r="J892">
        <v>107209484</v>
      </c>
      <c r="K892" s="2">
        <v>44582</v>
      </c>
      <c r="L892">
        <v>30</v>
      </c>
      <c r="M892">
        <v>5</v>
      </c>
      <c r="N892">
        <v>8</v>
      </c>
      <c r="O892">
        <v>5</v>
      </c>
      <c r="P892" t="s">
        <v>7</v>
      </c>
    </row>
    <row r="893" spans="1:16">
      <c r="A893" t="s">
        <v>1021</v>
      </c>
      <c r="B893" t="s">
        <v>1080</v>
      </c>
      <c r="C893">
        <v>0</v>
      </c>
      <c r="E893" t="s">
        <v>965</v>
      </c>
      <c r="F893" t="s">
        <v>964</v>
      </c>
      <c r="G893" t="s">
        <v>968</v>
      </c>
      <c r="H893">
        <v>7.75</v>
      </c>
      <c r="J893">
        <v>107224539</v>
      </c>
      <c r="K893" s="2">
        <v>44952</v>
      </c>
      <c r="L893">
        <v>21</v>
      </c>
      <c r="M893">
        <v>1</v>
      </c>
      <c r="N893">
        <v>7</v>
      </c>
      <c r="O893">
        <v>1</v>
      </c>
      <c r="P893" t="s">
        <v>3</v>
      </c>
    </row>
    <row r="894" spans="1:16">
      <c r="A894" t="s">
        <v>1021</v>
      </c>
      <c r="B894" t="s">
        <v>968</v>
      </c>
      <c r="C894">
        <v>0</v>
      </c>
      <c r="E894" t="s">
        <v>965</v>
      </c>
      <c r="F894" t="s">
        <v>1072</v>
      </c>
      <c r="G894" t="s">
        <v>968</v>
      </c>
      <c r="H894">
        <v>7.75</v>
      </c>
      <c r="J894">
        <v>107479287</v>
      </c>
      <c r="K894" s="2">
        <v>45206</v>
      </c>
      <c r="L894">
        <v>21</v>
      </c>
      <c r="M894">
        <v>2</v>
      </c>
      <c r="N894">
        <v>7</v>
      </c>
      <c r="O894">
        <v>1</v>
      </c>
      <c r="P894" t="s">
        <v>7</v>
      </c>
    </row>
    <row r="895" spans="1:16">
      <c r="A895" t="s">
        <v>1021</v>
      </c>
      <c r="B895" t="s">
        <v>965</v>
      </c>
      <c r="C895">
        <v>8.7999999999999995E-2</v>
      </c>
      <c r="D895" t="s">
        <v>762</v>
      </c>
      <c r="E895" t="s">
        <v>1056</v>
      </c>
      <c r="F895" t="s">
        <v>1052</v>
      </c>
      <c r="G895" t="s">
        <v>961</v>
      </c>
      <c r="H895">
        <v>1.365</v>
      </c>
      <c r="J895">
        <v>108194580</v>
      </c>
      <c r="K895" s="2">
        <v>45876</v>
      </c>
      <c r="L895">
        <v>21</v>
      </c>
      <c r="M895">
        <v>2</v>
      </c>
      <c r="N895">
        <v>7</v>
      </c>
      <c r="O895">
        <v>1</v>
      </c>
      <c r="P895" t="s">
        <v>7</v>
      </c>
    </row>
    <row r="896" spans="1:16">
      <c r="A896" t="s">
        <v>1021</v>
      </c>
      <c r="B896" t="s">
        <v>965</v>
      </c>
      <c r="C896">
        <v>0</v>
      </c>
      <c r="E896" t="s">
        <v>1062</v>
      </c>
      <c r="G896" t="s">
        <v>1063</v>
      </c>
      <c r="H896">
        <v>0.53900000000000003</v>
      </c>
      <c r="J896">
        <v>107230485</v>
      </c>
      <c r="K896" s="2">
        <v>44957</v>
      </c>
      <c r="L896">
        <v>21</v>
      </c>
      <c r="M896">
        <v>1</v>
      </c>
      <c r="N896">
        <v>9</v>
      </c>
      <c r="O896">
        <v>1</v>
      </c>
      <c r="P896" t="s">
        <v>7</v>
      </c>
    </row>
    <row r="897" spans="1:19">
      <c r="A897" t="s">
        <v>1021</v>
      </c>
      <c r="B897" t="s">
        <v>965</v>
      </c>
      <c r="C897">
        <v>3.0000000000000001E-3</v>
      </c>
      <c r="D897" t="s">
        <v>756</v>
      </c>
      <c r="E897" t="s">
        <v>1080</v>
      </c>
      <c r="F897" t="s">
        <v>977</v>
      </c>
      <c r="G897" t="s">
        <v>961</v>
      </c>
      <c r="H897">
        <v>3.0000000000000001E-3</v>
      </c>
      <c r="J897">
        <v>107230268</v>
      </c>
      <c r="K897" s="2">
        <v>44957</v>
      </c>
      <c r="L897">
        <v>21</v>
      </c>
      <c r="M897">
        <v>1</v>
      </c>
      <c r="N897">
        <v>7</v>
      </c>
      <c r="O897">
        <v>1</v>
      </c>
      <c r="P897" t="s">
        <v>7</v>
      </c>
    </row>
    <row r="898" spans="1:19">
      <c r="A898" t="s">
        <v>1021</v>
      </c>
      <c r="B898" t="s">
        <v>967</v>
      </c>
      <c r="C898">
        <v>0</v>
      </c>
      <c r="E898" t="s">
        <v>1093</v>
      </c>
      <c r="F898" t="s">
        <v>965</v>
      </c>
      <c r="G898" t="s">
        <v>967</v>
      </c>
      <c r="H898">
        <v>999.99900000000002</v>
      </c>
      <c r="J898">
        <v>107353411</v>
      </c>
      <c r="K898" s="2">
        <v>45079</v>
      </c>
      <c r="L898">
        <v>24</v>
      </c>
      <c r="M898">
        <v>1</v>
      </c>
      <c r="N898">
        <v>8</v>
      </c>
      <c r="O898">
        <v>1</v>
      </c>
      <c r="P898" t="s">
        <v>7</v>
      </c>
    </row>
    <row r="899" spans="1:19">
      <c r="A899" t="s">
        <v>1021</v>
      </c>
      <c r="B899" t="s">
        <v>968</v>
      </c>
      <c r="C899">
        <v>0</v>
      </c>
      <c r="E899" t="s">
        <v>965</v>
      </c>
      <c r="F899" t="s">
        <v>964</v>
      </c>
      <c r="G899" t="s">
        <v>968</v>
      </c>
      <c r="H899">
        <v>7.75</v>
      </c>
      <c r="J899">
        <v>107365183</v>
      </c>
      <c r="K899" s="2">
        <v>45074</v>
      </c>
      <c r="L899">
        <v>30</v>
      </c>
      <c r="M899">
        <v>2</v>
      </c>
      <c r="N899">
        <v>7</v>
      </c>
      <c r="O899">
        <v>1</v>
      </c>
      <c r="P899" t="s">
        <v>8</v>
      </c>
    </row>
    <row r="900" spans="1:19">
      <c r="A900" t="s">
        <v>1021</v>
      </c>
      <c r="B900" t="s">
        <v>965</v>
      </c>
      <c r="C900">
        <v>4.5999999999999999E-2</v>
      </c>
      <c r="D900" t="s">
        <v>762</v>
      </c>
      <c r="E900" t="s">
        <v>1061</v>
      </c>
      <c r="F900" t="s">
        <v>1062</v>
      </c>
      <c r="G900" t="s">
        <v>1063</v>
      </c>
      <c r="H900">
        <v>0.53</v>
      </c>
      <c r="J900">
        <v>108042998</v>
      </c>
      <c r="K900" s="2">
        <v>45726</v>
      </c>
      <c r="L900">
        <v>21</v>
      </c>
      <c r="M900">
        <v>1</v>
      </c>
      <c r="N900">
        <v>7</v>
      </c>
      <c r="O900">
        <v>1</v>
      </c>
      <c r="P900" t="s">
        <v>7</v>
      </c>
    </row>
    <row r="901" spans="1:19">
      <c r="A901" t="s">
        <v>1021</v>
      </c>
      <c r="B901" t="s">
        <v>965</v>
      </c>
      <c r="C901">
        <v>0</v>
      </c>
      <c r="E901" t="s">
        <v>1067</v>
      </c>
      <c r="G901" t="s">
        <v>965</v>
      </c>
      <c r="H901">
        <v>999.99900000000002</v>
      </c>
      <c r="J901">
        <v>107391646</v>
      </c>
      <c r="K901" s="2">
        <v>45117</v>
      </c>
      <c r="L901">
        <v>24</v>
      </c>
      <c r="M901">
        <v>1</v>
      </c>
      <c r="N901">
        <v>7</v>
      </c>
      <c r="O901">
        <v>1</v>
      </c>
      <c r="P901" t="s">
        <v>7</v>
      </c>
    </row>
    <row r="902" spans="1:19">
      <c r="A902" t="s">
        <v>1021</v>
      </c>
      <c r="B902" t="s">
        <v>965</v>
      </c>
      <c r="C902">
        <v>3.7999999999999999E-2</v>
      </c>
      <c r="D902" t="s">
        <v>758</v>
      </c>
      <c r="E902" t="s">
        <v>967</v>
      </c>
      <c r="F902" t="s">
        <v>968</v>
      </c>
      <c r="G902" t="s">
        <v>961</v>
      </c>
      <c r="H902">
        <v>0.17299999999999999</v>
      </c>
      <c r="J902">
        <v>107440089</v>
      </c>
      <c r="K902" s="2">
        <v>45166</v>
      </c>
      <c r="L902">
        <v>28</v>
      </c>
      <c r="M902">
        <v>1</v>
      </c>
      <c r="N902">
        <v>0</v>
      </c>
      <c r="O902">
        <v>1</v>
      </c>
      <c r="P902" t="s">
        <v>7</v>
      </c>
    </row>
    <row r="903" spans="1:19">
      <c r="A903" t="s">
        <v>1021</v>
      </c>
      <c r="B903" t="s">
        <v>965</v>
      </c>
      <c r="C903">
        <v>0</v>
      </c>
      <c r="E903" t="s">
        <v>1032</v>
      </c>
      <c r="F903" t="s">
        <v>1033</v>
      </c>
      <c r="G903" t="s">
        <v>961</v>
      </c>
      <c r="H903">
        <v>1.843</v>
      </c>
      <c r="J903">
        <v>107367831</v>
      </c>
      <c r="K903" s="2">
        <v>45093</v>
      </c>
      <c r="L903">
        <v>30</v>
      </c>
      <c r="M903">
        <v>1</v>
      </c>
      <c r="N903">
        <v>7</v>
      </c>
      <c r="O903">
        <v>1</v>
      </c>
      <c r="P903" t="s">
        <v>3</v>
      </c>
    </row>
    <row r="904" spans="1:19">
      <c r="A904" t="s">
        <v>1021</v>
      </c>
      <c r="B904" t="s">
        <v>965</v>
      </c>
      <c r="C904">
        <v>0</v>
      </c>
      <c r="E904" t="s">
        <v>1039</v>
      </c>
      <c r="F904" t="s">
        <v>1023</v>
      </c>
      <c r="G904" t="s">
        <v>961</v>
      </c>
      <c r="H904">
        <v>0.83899999999999997</v>
      </c>
      <c r="J904">
        <v>107392896</v>
      </c>
      <c r="K904" s="2">
        <v>45118</v>
      </c>
      <c r="L904">
        <v>23</v>
      </c>
      <c r="M904">
        <v>1</v>
      </c>
      <c r="N904">
        <v>7</v>
      </c>
      <c r="O904">
        <v>1</v>
      </c>
      <c r="P904" t="s">
        <v>8</v>
      </c>
    </row>
    <row r="905" spans="1:19">
      <c r="A905" t="s">
        <v>1021</v>
      </c>
      <c r="B905" t="s">
        <v>968</v>
      </c>
      <c r="C905">
        <v>1.9E-2</v>
      </c>
      <c r="D905" t="s">
        <v>762</v>
      </c>
      <c r="E905" t="s">
        <v>965</v>
      </c>
      <c r="F905" t="s">
        <v>963</v>
      </c>
      <c r="G905" t="s">
        <v>968</v>
      </c>
      <c r="H905">
        <v>7.7309999999999999</v>
      </c>
      <c r="J905">
        <v>107441145</v>
      </c>
      <c r="K905" s="2">
        <v>45168</v>
      </c>
      <c r="L905">
        <v>21</v>
      </c>
      <c r="M905">
        <v>2</v>
      </c>
      <c r="N905">
        <v>7</v>
      </c>
      <c r="O905">
        <v>1</v>
      </c>
      <c r="P905" t="s">
        <v>7</v>
      </c>
    </row>
    <row r="906" spans="1:19">
      <c r="A906" t="s">
        <v>1021</v>
      </c>
      <c r="B906" t="s">
        <v>965</v>
      </c>
      <c r="C906">
        <v>0.01</v>
      </c>
      <c r="D906" t="s">
        <v>6</v>
      </c>
      <c r="E906" t="s">
        <v>1026</v>
      </c>
      <c r="F906" t="s">
        <v>1097</v>
      </c>
      <c r="G906" t="s">
        <v>1063</v>
      </c>
      <c r="H906">
        <v>0.01</v>
      </c>
      <c r="J906">
        <v>107423319</v>
      </c>
      <c r="K906" s="2">
        <v>45149</v>
      </c>
      <c r="L906">
        <v>1</v>
      </c>
      <c r="M906">
        <v>1</v>
      </c>
      <c r="N906">
        <v>0</v>
      </c>
      <c r="O906">
        <v>5</v>
      </c>
      <c r="P906" t="s">
        <v>7</v>
      </c>
    </row>
    <row r="907" spans="1:19">
      <c r="A907" t="s">
        <v>1021</v>
      </c>
      <c r="B907" t="s">
        <v>968</v>
      </c>
      <c r="C907">
        <v>5.0000000000000001E-3</v>
      </c>
      <c r="D907" t="s">
        <v>763</v>
      </c>
      <c r="E907" t="s">
        <v>965</v>
      </c>
      <c r="F907" t="s">
        <v>963</v>
      </c>
      <c r="G907" t="s">
        <v>968</v>
      </c>
      <c r="H907">
        <v>7.7450000000000001</v>
      </c>
      <c r="J907">
        <v>107464912</v>
      </c>
      <c r="K907" s="2">
        <v>45190</v>
      </c>
      <c r="L907">
        <v>21</v>
      </c>
      <c r="M907">
        <v>1</v>
      </c>
      <c r="N907">
        <v>7</v>
      </c>
      <c r="O907">
        <v>5</v>
      </c>
      <c r="P907" t="s">
        <v>7</v>
      </c>
    </row>
    <row r="908" spans="1:19">
      <c r="A908" t="s">
        <v>754</v>
      </c>
      <c r="B908" t="s">
        <v>962</v>
      </c>
      <c r="C908">
        <v>9.5000000000000001E-2</v>
      </c>
      <c r="D908" t="s">
        <v>756</v>
      </c>
      <c r="E908" t="s">
        <v>968</v>
      </c>
      <c r="F908" t="s">
        <v>1024</v>
      </c>
      <c r="G908" t="s">
        <v>962</v>
      </c>
      <c r="H908">
        <v>2.1920000000000002</v>
      </c>
      <c r="J908">
        <v>107464310</v>
      </c>
      <c r="K908" s="2">
        <v>45188</v>
      </c>
      <c r="L908">
        <v>28</v>
      </c>
      <c r="M908">
        <v>1</v>
      </c>
      <c r="N908">
        <v>0</v>
      </c>
      <c r="O908">
        <v>1</v>
      </c>
      <c r="P908" t="s">
        <v>7</v>
      </c>
    </row>
    <row r="909" spans="1:19">
      <c r="A909" t="s">
        <v>1021</v>
      </c>
      <c r="B909" t="s">
        <v>965</v>
      </c>
      <c r="C909">
        <v>0</v>
      </c>
      <c r="E909" t="s">
        <v>968</v>
      </c>
      <c r="F909" t="s">
        <v>977</v>
      </c>
      <c r="G909" t="s">
        <v>962</v>
      </c>
      <c r="H909">
        <v>2.1920000000000002</v>
      </c>
      <c r="J909">
        <v>107389833</v>
      </c>
      <c r="K909" s="2">
        <v>45114</v>
      </c>
      <c r="L909">
        <v>21</v>
      </c>
      <c r="M909">
        <v>1</v>
      </c>
      <c r="N909">
        <v>7</v>
      </c>
      <c r="O909">
        <v>1</v>
      </c>
      <c r="P909" t="s">
        <v>7</v>
      </c>
    </row>
    <row r="910" spans="1:19">
      <c r="A910" t="s">
        <v>1021</v>
      </c>
      <c r="B910" t="s">
        <v>962</v>
      </c>
      <c r="C910">
        <v>2.4E-2</v>
      </c>
      <c r="D910" t="s">
        <v>758</v>
      </c>
      <c r="E910" t="s">
        <v>1166</v>
      </c>
      <c r="F910" t="s">
        <v>1006</v>
      </c>
      <c r="H910">
        <v>999.99900000000002</v>
      </c>
      <c r="J910">
        <v>107497749</v>
      </c>
      <c r="K910" s="2">
        <v>45219</v>
      </c>
      <c r="L910">
        <v>21</v>
      </c>
      <c r="M910">
        <v>1</v>
      </c>
      <c r="N910">
        <v>0</v>
      </c>
      <c r="O910">
        <v>1</v>
      </c>
      <c r="P910" t="s">
        <v>7</v>
      </c>
      <c r="Q910">
        <v>35.177</v>
      </c>
      <c r="R910">
        <v>-79.437299999999993</v>
      </c>
      <c r="S910" t="s">
        <v>761</v>
      </c>
    </row>
    <row r="911" spans="1:19">
      <c r="A911" t="s">
        <v>1021</v>
      </c>
      <c r="B911" t="s">
        <v>966</v>
      </c>
      <c r="C911">
        <v>8.9999999999999993E-3</v>
      </c>
      <c r="D911" t="s">
        <v>6</v>
      </c>
      <c r="E911" t="s">
        <v>1028</v>
      </c>
      <c r="F911" t="s">
        <v>964</v>
      </c>
      <c r="H911">
        <v>999.99900000000002</v>
      </c>
      <c r="J911">
        <v>107462091</v>
      </c>
      <c r="K911" s="2">
        <v>45187</v>
      </c>
      <c r="L911">
        <v>30</v>
      </c>
      <c r="M911">
        <v>1</v>
      </c>
      <c r="N911">
        <v>0</v>
      </c>
      <c r="O911">
        <v>1</v>
      </c>
      <c r="P911" t="s">
        <v>3</v>
      </c>
    </row>
    <row r="912" spans="1:19">
      <c r="A912" t="s">
        <v>1021</v>
      </c>
      <c r="B912" t="s">
        <v>968</v>
      </c>
      <c r="C912">
        <v>2.3E-2</v>
      </c>
      <c r="D912" t="s">
        <v>765</v>
      </c>
      <c r="E912" t="s">
        <v>965</v>
      </c>
      <c r="F912" t="s">
        <v>1072</v>
      </c>
      <c r="G912" t="s">
        <v>968</v>
      </c>
      <c r="H912">
        <v>7.7729999999999997</v>
      </c>
      <c r="J912">
        <v>107424312</v>
      </c>
      <c r="K912" s="2">
        <v>45152</v>
      </c>
      <c r="L912">
        <v>21</v>
      </c>
      <c r="M912">
        <v>1</v>
      </c>
      <c r="N912">
        <v>0</v>
      </c>
      <c r="O912">
        <v>1</v>
      </c>
      <c r="P912" t="s">
        <v>7</v>
      </c>
    </row>
    <row r="913" spans="1:16">
      <c r="A913" t="s">
        <v>1021</v>
      </c>
      <c r="B913" t="s">
        <v>966</v>
      </c>
      <c r="C913">
        <v>0</v>
      </c>
      <c r="E913" t="s">
        <v>1132</v>
      </c>
      <c r="F913" t="s">
        <v>1152</v>
      </c>
      <c r="G913" t="s">
        <v>1153</v>
      </c>
      <c r="H913">
        <v>7.5110000000000001</v>
      </c>
      <c r="J913">
        <v>107477913</v>
      </c>
      <c r="K913" s="2">
        <v>45202</v>
      </c>
      <c r="L913">
        <v>21</v>
      </c>
      <c r="M913">
        <v>1</v>
      </c>
      <c r="N913">
        <v>0</v>
      </c>
      <c r="O913">
        <v>1</v>
      </c>
      <c r="P913" t="s">
        <v>7</v>
      </c>
    </row>
    <row r="914" spans="1:16">
      <c r="A914" t="s">
        <v>1021</v>
      </c>
      <c r="B914" t="s">
        <v>965</v>
      </c>
      <c r="C914">
        <v>4.0000000000000001E-3</v>
      </c>
      <c r="D914" t="s">
        <v>758</v>
      </c>
      <c r="E914" t="s">
        <v>1062</v>
      </c>
      <c r="G914" t="s">
        <v>1063</v>
      </c>
      <c r="H914">
        <v>0.53500000000000003</v>
      </c>
      <c r="J914">
        <v>107360935</v>
      </c>
      <c r="K914" s="2">
        <v>45064</v>
      </c>
      <c r="L914">
        <v>21</v>
      </c>
      <c r="M914">
        <v>1</v>
      </c>
      <c r="N914">
        <v>8</v>
      </c>
      <c r="O914">
        <v>1</v>
      </c>
      <c r="P914" t="s">
        <v>7</v>
      </c>
    </row>
    <row r="915" spans="1:16">
      <c r="A915" t="s">
        <v>1021</v>
      </c>
      <c r="B915" t="s">
        <v>968</v>
      </c>
      <c r="C915">
        <v>0</v>
      </c>
      <c r="E915" t="s">
        <v>965</v>
      </c>
      <c r="G915" t="s">
        <v>968</v>
      </c>
      <c r="H915">
        <v>7.75</v>
      </c>
      <c r="J915">
        <v>107364211</v>
      </c>
      <c r="K915" s="2">
        <v>44971</v>
      </c>
      <c r="L915">
        <v>21</v>
      </c>
      <c r="M915">
        <v>1</v>
      </c>
      <c r="N915">
        <v>0</v>
      </c>
      <c r="O915">
        <v>1</v>
      </c>
      <c r="P915" t="s">
        <v>7</v>
      </c>
    </row>
    <row r="916" spans="1:16">
      <c r="A916" t="s">
        <v>1021</v>
      </c>
      <c r="B916" t="s">
        <v>965</v>
      </c>
      <c r="C916">
        <v>0</v>
      </c>
      <c r="E916" t="s">
        <v>979</v>
      </c>
      <c r="F916" t="s">
        <v>1052</v>
      </c>
      <c r="G916" t="s">
        <v>961</v>
      </c>
      <c r="H916">
        <v>1.5960000000000001</v>
      </c>
      <c r="J916">
        <v>107911891</v>
      </c>
      <c r="K916" s="2">
        <v>45602</v>
      </c>
      <c r="L916">
        <v>21</v>
      </c>
      <c r="M916">
        <v>1</v>
      </c>
      <c r="N916">
        <v>8</v>
      </c>
      <c r="O916">
        <v>1</v>
      </c>
      <c r="P916" t="s">
        <v>7</v>
      </c>
    </row>
    <row r="917" spans="1:16">
      <c r="A917" t="s">
        <v>1021</v>
      </c>
      <c r="B917" t="s">
        <v>965</v>
      </c>
      <c r="C917">
        <v>4.7E-2</v>
      </c>
      <c r="D917" t="s">
        <v>758</v>
      </c>
      <c r="E917" t="s">
        <v>1026</v>
      </c>
      <c r="F917" t="s">
        <v>1097</v>
      </c>
      <c r="G917" t="s">
        <v>1036</v>
      </c>
      <c r="H917">
        <v>0.59599999999999997</v>
      </c>
      <c r="J917">
        <v>107548958</v>
      </c>
      <c r="K917" s="2">
        <v>45261</v>
      </c>
      <c r="L917">
        <v>1</v>
      </c>
      <c r="M917">
        <v>1</v>
      </c>
      <c r="N917">
        <v>0</v>
      </c>
      <c r="O917">
        <v>4</v>
      </c>
      <c r="P917" t="s">
        <v>3</v>
      </c>
    </row>
    <row r="918" spans="1:16">
      <c r="A918" t="s">
        <v>1021</v>
      </c>
      <c r="B918" t="s">
        <v>979</v>
      </c>
      <c r="C918">
        <v>0</v>
      </c>
      <c r="D918" t="s">
        <v>6</v>
      </c>
      <c r="E918" t="s">
        <v>965</v>
      </c>
      <c r="F918" t="s">
        <v>1041</v>
      </c>
      <c r="G918" t="s">
        <v>979</v>
      </c>
      <c r="H918">
        <v>9.6630000000000003</v>
      </c>
      <c r="J918">
        <v>107397084</v>
      </c>
      <c r="K918" s="2">
        <v>45121</v>
      </c>
      <c r="L918">
        <v>28</v>
      </c>
      <c r="M918">
        <v>1</v>
      </c>
      <c r="N918">
        <v>0</v>
      </c>
      <c r="O918">
        <v>1</v>
      </c>
      <c r="P918" t="s">
        <v>7</v>
      </c>
    </row>
    <row r="919" spans="1:16">
      <c r="A919" t="s">
        <v>1021</v>
      </c>
      <c r="B919" t="s">
        <v>968</v>
      </c>
      <c r="C919">
        <v>0</v>
      </c>
      <c r="E919" t="s">
        <v>964</v>
      </c>
      <c r="G919" t="s">
        <v>968</v>
      </c>
      <c r="H919">
        <v>8.1210000000000004</v>
      </c>
      <c r="J919">
        <v>107513749</v>
      </c>
      <c r="K919" s="2">
        <v>45233</v>
      </c>
      <c r="L919">
        <v>30</v>
      </c>
      <c r="M919">
        <v>1</v>
      </c>
      <c r="N919">
        <v>7</v>
      </c>
      <c r="O919">
        <v>3</v>
      </c>
      <c r="P919" t="s">
        <v>3</v>
      </c>
    </row>
    <row r="920" spans="1:16">
      <c r="A920" t="s">
        <v>1021</v>
      </c>
      <c r="B920" t="s">
        <v>965</v>
      </c>
      <c r="C920">
        <v>4.1000000000000002E-2</v>
      </c>
      <c r="D920" t="s">
        <v>756</v>
      </c>
      <c r="E920" t="s">
        <v>979</v>
      </c>
      <c r="F920" t="s">
        <v>1033</v>
      </c>
      <c r="G920" t="s">
        <v>961</v>
      </c>
      <c r="H920">
        <v>1.637</v>
      </c>
      <c r="J920">
        <v>107409534</v>
      </c>
      <c r="K920" s="2">
        <v>45136</v>
      </c>
      <c r="L920">
        <v>30</v>
      </c>
      <c r="M920">
        <v>1</v>
      </c>
      <c r="N920">
        <v>0</v>
      </c>
      <c r="O920">
        <v>1</v>
      </c>
      <c r="P920" t="s">
        <v>3</v>
      </c>
    </row>
    <row r="921" spans="1:16">
      <c r="A921" t="s">
        <v>1021</v>
      </c>
      <c r="B921" t="s">
        <v>965</v>
      </c>
      <c r="C921">
        <v>0</v>
      </c>
      <c r="E921" t="s">
        <v>979</v>
      </c>
      <c r="F921" t="s">
        <v>1054</v>
      </c>
      <c r="G921" t="s">
        <v>961</v>
      </c>
      <c r="H921">
        <v>1.5960000000000001</v>
      </c>
      <c r="J921">
        <v>107487853</v>
      </c>
      <c r="K921" s="2">
        <v>45211</v>
      </c>
      <c r="L921">
        <v>30</v>
      </c>
      <c r="M921">
        <v>1</v>
      </c>
      <c r="N921">
        <v>8</v>
      </c>
      <c r="O921">
        <v>1</v>
      </c>
      <c r="P921" t="s">
        <v>7</v>
      </c>
    </row>
    <row r="922" spans="1:16">
      <c r="A922" t="s">
        <v>1021</v>
      </c>
      <c r="B922" t="s">
        <v>968</v>
      </c>
      <c r="C922">
        <v>8.9999999999999993E-3</v>
      </c>
      <c r="D922" t="s">
        <v>6</v>
      </c>
      <c r="E922" t="s">
        <v>964</v>
      </c>
      <c r="F922" t="s">
        <v>965</v>
      </c>
      <c r="G922" t="s">
        <v>968</v>
      </c>
      <c r="H922">
        <v>8.1120000000000001</v>
      </c>
      <c r="J922">
        <v>107502134</v>
      </c>
      <c r="K922" s="2">
        <v>45224</v>
      </c>
      <c r="L922">
        <v>21</v>
      </c>
      <c r="M922">
        <v>1</v>
      </c>
      <c r="N922">
        <v>0</v>
      </c>
      <c r="O922">
        <v>1</v>
      </c>
      <c r="P922" t="s">
        <v>7</v>
      </c>
    </row>
    <row r="923" spans="1:16">
      <c r="A923" t="s">
        <v>1021</v>
      </c>
      <c r="B923" t="s">
        <v>965</v>
      </c>
      <c r="C923">
        <v>9.4E-2</v>
      </c>
      <c r="D923" t="s">
        <v>764</v>
      </c>
      <c r="E923" t="s">
        <v>968</v>
      </c>
      <c r="F923" t="s">
        <v>967</v>
      </c>
      <c r="G923" t="s">
        <v>962</v>
      </c>
      <c r="H923">
        <v>2.0979999999999999</v>
      </c>
      <c r="J923">
        <v>107487781</v>
      </c>
      <c r="K923" s="2">
        <v>45211</v>
      </c>
      <c r="L923">
        <v>30</v>
      </c>
      <c r="M923">
        <v>1</v>
      </c>
      <c r="N923">
        <v>8</v>
      </c>
      <c r="O923">
        <v>4</v>
      </c>
      <c r="P923" t="s">
        <v>7</v>
      </c>
    </row>
    <row r="924" spans="1:16">
      <c r="A924" t="s">
        <v>1021</v>
      </c>
      <c r="B924" t="s">
        <v>967</v>
      </c>
      <c r="C924">
        <v>0</v>
      </c>
      <c r="E924" t="s">
        <v>965</v>
      </c>
      <c r="F924" t="s">
        <v>968</v>
      </c>
      <c r="G924" t="s">
        <v>960</v>
      </c>
      <c r="H924">
        <v>1.4890000000000001</v>
      </c>
      <c r="J924">
        <v>107529695</v>
      </c>
      <c r="K924" s="2">
        <v>45197</v>
      </c>
      <c r="L924">
        <v>21</v>
      </c>
      <c r="M924">
        <v>1</v>
      </c>
      <c r="N924">
        <v>7</v>
      </c>
      <c r="O924">
        <v>1</v>
      </c>
      <c r="P924" t="s">
        <v>7</v>
      </c>
    </row>
    <row r="925" spans="1:16">
      <c r="A925" t="s">
        <v>1021</v>
      </c>
      <c r="B925" t="s">
        <v>965</v>
      </c>
      <c r="C925">
        <v>8.9999999999999993E-3</v>
      </c>
      <c r="D925" t="s">
        <v>758</v>
      </c>
      <c r="E925" t="s">
        <v>968</v>
      </c>
      <c r="F925" t="s">
        <v>977</v>
      </c>
      <c r="G925" t="s">
        <v>962</v>
      </c>
      <c r="H925">
        <v>2.1829999999999998</v>
      </c>
      <c r="J925">
        <v>107402785</v>
      </c>
      <c r="K925" s="2">
        <v>45128</v>
      </c>
      <c r="L925">
        <v>23</v>
      </c>
      <c r="M925">
        <v>1</v>
      </c>
      <c r="N925">
        <v>0</v>
      </c>
      <c r="O925">
        <v>1</v>
      </c>
      <c r="P925" t="s">
        <v>7</v>
      </c>
    </row>
    <row r="926" spans="1:16">
      <c r="A926" t="s">
        <v>1021</v>
      </c>
      <c r="B926" t="s">
        <v>965</v>
      </c>
      <c r="C926">
        <v>0</v>
      </c>
      <c r="E926" t="s">
        <v>1033</v>
      </c>
      <c r="F926" t="s">
        <v>1032</v>
      </c>
      <c r="G926" t="s">
        <v>961</v>
      </c>
      <c r="H926">
        <v>1.893</v>
      </c>
      <c r="J926">
        <v>107445055</v>
      </c>
      <c r="K926" s="2">
        <v>45169</v>
      </c>
      <c r="L926">
        <v>21</v>
      </c>
      <c r="M926">
        <v>1</v>
      </c>
      <c r="N926">
        <v>7</v>
      </c>
      <c r="O926">
        <v>1</v>
      </c>
      <c r="P926" t="s">
        <v>3</v>
      </c>
    </row>
    <row r="927" spans="1:16">
      <c r="A927" t="s">
        <v>1021</v>
      </c>
      <c r="B927" t="s">
        <v>965</v>
      </c>
      <c r="C927">
        <v>0</v>
      </c>
      <c r="E927" t="s">
        <v>1023</v>
      </c>
      <c r="F927" t="s">
        <v>967</v>
      </c>
      <c r="G927" t="s">
        <v>961</v>
      </c>
      <c r="H927">
        <v>0.66500000000000004</v>
      </c>
      <c r="J927">
        <v>107536974</v>
      </c>
      <c r="K927" s="2">
        <v>45252</v>
      </c>
      <c r="L927">
        <v>28</v>
      </c>
      <c r="M927">
        <v>1</v>
      </c>
      <c r="N927">
        <v>7</v>
      </c>
      <c r="O927">
        <v>1</v>
      </c>
      <c r="P927" t="s">
        <v>7</v>
      </c>
    </row>
    <row r="928" spans="1:16">
      <c r="A928" t="s">
        <v>1021</v>
      </c>
      <c r="B928" t="s">
        <v>965</v>
      </c>
      <c r="C928">
        <v>0</v>
      </c>
      <c r="E928" t="s">
        <v>967</v>
      </c>
      <c r="F928" t="s">
        <v>1023</v>
      </c>
      <c r="G928" t="s">
        <v>961</v>
      </c>
      <c r="H928">
        <v>0.21099999999999999</v>
      </c>
      <c r="J928">
        <v>107535374</v>
      </c>
      <c r="K928" s="2">
        <v>45251</v>
      </c>
      <c r="L928">
        <v>24</v>
      </c>
      <c r="M928">
        <v>2</v>
      </c>
      <c r="N928">
        <v>7</v>
      </c>
      <c r="O928">
        <v>1</v>
      </c>
      <c r="P928" t="s">
        <v>7</v>
      </c>
    </row>
    <row r="929" spans="1:16">
      <c r="A929" t="s">
        <v>1021</v>
      </c>
      <c r="B929" t="s">
        <v>965</v>
      </c>
      <c r="C929">
        <v>0</v>
      </c>
      <c r="E929" t="s">
        <v>1032</v>
      </c>
      <c r="G929" t="s">
        <v>961</v>
      </c>
      <c r="H929">
        <v>1.843</v>
      </c>
      <c r="J929">
        <v>107444738</v>
      </c>
      <c r="K929" s="2">
        <v>45169</v>
      </c>
      <c r="L929">
        <v>30</v>
      </c>
      <c r="M929">
        <v>1</v>
      </c>
      <c r="N929">
        <v>7</v>
      </c>
      <c r="O929">
        <v>1</v>
      </c>
      <c r="P929" t="s">
        <v>8</v>
      </c>
    </row>
    <row r="930" spans="1:16">
      <c r="A930" t="s">
        <v>1021</v>
      </c>
      <c r="B930" t="s">
        <v>1032</v>
      </c>
      <c r="C930">
        <v>0</v>
      </c>
      <c r="E930" t="s">
        <v>965</v>
      </c>
      <c r="F930" t="s">
        <v>1126</v>
      </c>
      <c r="G930" t="s">
        <v>1032</v>
      </c>
      <c r="H930">
        <v>0.12</v>
      </c>
      <c r="J930">
        <v>107450597</v>
      </c>
      <c r="K930" s="2">
        <v>45138</v>
      </c>
      <c r="L930">
        <v>30</v>
      </c>
      <c r="M930">
        <v>1</v>
      </c>
      <c r="N930">
        <v>0</v>
      </c>
      <c r="O930">
        <v>1</v>
      </c>
      <c r="P930" t="s">
        <v>7</v>
      </c>
    </row>
    <row r="931" spans="1:16">
      <c r="A931" t="s">
        <v>1021</v>
      </c>
      <c r="B931" t="s">
        <v>1167</v>
      </c>
      <c r="C931">
        <v>0.01</v>
      </c>
      <c r="D931" t="s">
        <v>765</v>
      </c>
      <c r="E931" t="s">
        <v>963</v>
      </c>
      <c r="F931" t="s">
        <v>965</v>
      </c>
      <c r="H931">
        <v>999.99900000000002</v>
      </c>
      <c r="J931">
        <v>107536973</v>
      </c>
      <c r="K931" s="2">
        <v>45251</v>
      </c>
      <c r="L931">
        <v>20</v>
      </c>
      <c r="M931">
        <v>2</v>
      </c>
      <c r="N931">
        <v>0</v>
      </c>
      <c r="O931">
        <v>1</v>
      </c>
    </row>
    <row r="932" spans="1:16">
      <c r="A932" t="s">
        <v>1021</v>
      </c>
      <c r="B932" t="s">
        <v>965</v>
      </c>
      <c r="C932">
        <v>0.11</v>
      </c>
      <c r="D932" t="s">
        <v>758</v>
      </c>
      <c r="E932" t="s">
        <v>967</v>
      </c>
      <c r="F932" t="s">
        <v>968</v>
      </c>
      <c r="G932" t="s">
        <v>961</v>
      </c>
      <c r="H932">
        <v>0.10100000000000001</v>
      </c>
      <c r="J932">
        <v>107533994</v>
      </c>
      <c r="K932" s="2">
        <v>45250</v>
      </c>
      <c r="L932">
        <v>24</v>
      </c>
      <c r="M932">
        <v>1</v>
      </c>
      <c r="N932">
        <v>8</v>
      </c>
      <c r="O932">
        <v>1</v>
      </c>
      <c r="P932" t="s">
        <v>7</v>
      </c>
    </row>
    <row r="933" spans="1:16">
      <c r="A933" t="s">
        <v>1021</v>
      </c>
      <c r="B933" t="s">
        <v>965</v>
      </c>
      <c r="C933">
        <v>3.7999999999999999E-2</v>
      </c>
      <c r="D933" t="s">
        <v>756</v>
      </c>
      <c r="E933" t="s">
        <v>1032</v>
      </c>
      <c r="F933" t="s">
        <v>1035</v>
      </c>
      <c r="G933" t="s">
        <v>961</v>
      </c>
      <c r="H933">
        <v>1.881</v>
      </c>
      <c r="J933">
        <v>107508002</v>
      </c>
      <c r="K933" s="2">
        <v>45133</v>
      </c>
      <c r="L933">
        <v>21</v>
      </c>
      <c r="M933">
        <v>1</v>
      </c>
      <c r="N933">
        <v>0</v>
      </c>
      <c r="O933">
        <v>1</v>
      </c>
      <c r="P933" t="s">
        <v>7</v>
      </c>
    </row>
    <row r="934" spans="1:16">
      <c r="A934" t="s">
        <v>1021</v>
      </c>
      <c r="B934" t="s">
        <v>1168</v>
      </c>
      <c r="C934">
        <v>8.9999999999999993E-3</v>
      </c>
      <c r="D934" t="s">
        <v>758</v>
      </c>
      <c r="E934" t="s">
        <v>965</v>
      </c>
      <c r="H934">
        <v>999.99900000000002</v>
      </c>
      <c r="J934">
        <v>107622106</v>
      </c>
      <c r="K934" s="2">
        <v>45333</v>
      </c>
      <c r="L934">
        <v>20</v>
      </c>
      <c r="M934">
        <v>1</v>
      </c>
      <c r="N934">
        <v>0</v>
      </c>
      <c r="O934">
        <v>1</v>
      </c>
      <c r="P934" t="s">
        <v>7</v>
      </c>
    </row>
    <row r="935" spans="1:16">
      <c r="A935" t="s">
        <v>1021</v>
      </c>
      <c r="B935" t="s">
        <v>967</v>
      </c>
      <c r="C935">
        <v>0</v>
      </c>
      <c r="E935" t="s">
        <v>1057</v>
      </c>
      <c r="F935" t="s">
        <v>1018</v>
      </c>
      <c r="H935">
        <v>999.99900000000002</v>
      </c>
      <c r="J935">
        <v>107422822</v>
      </c>
      <c r="K935" s="2">
        <v>45150</v>
      </c>
      <c r="L935">
        <v>24</v>
      </c>
      <c r="M935">
        <v>1</v>
      </c>
      <c r="N935">
        <v>8</v>
      </c>
      <c r="O935">
        <v>1</v>
      </c>
      <c r="P935" t="s">
        <v>7</v>
      </c>
    </row>
    <row r="936" spans="1:16">
      <c r="A936" t="s">
        <v>1021</v>
      </c>
      <c r="B936" t="s">
        <v>965</v>
      </c>
      <c r="C936">
        <v>0</v>
      </c>
      <c r="E936" t="s">
        <v>1062</v>
      </c>
      <c r="F936" t="s">
        <v>1061</v>
      </c>
      <c r="G936" t="s">
        <v>1063</v>
      </c>
      <c r="H936">
        <v>0.53900000000000003</v>
      </c>
      <c r="J936">
        <v>107581829</v>
      </c>
      <c r="K936" s="2">
        <v>45293</v>
      </c>
      <c r="L936">
        <v>21</v>
      </c>
      <c r="M936">
        <v>1</v>
      </c>
      <c r="N936">
        <v>9</v>
      </c>
      <c r="O936">
        <v>1</v>
      </c>
      <c r="P936" t="s">
        <v>7</v>
      </c>
    </row>
    <row r="937" spans="1:16">
      <c r="A937" t="s">
        <v>1021</v>
      </c>
      <c r="B937" t="s">
        <v>965</v>
      </c>
      <c r="C937">
        <v>0</v>
      </c>
      <c r="E937" t="s">
        <v>1023</v>
      </c>
      <c r="F937" t="s">
        <v>977</v>
      </c>
      <c r="G937" t="s">
        <v>961</v>
      </c>
      <c r="H937">
        <v>0.66500000000000004</v>
      </c>
      <c r="J937">
        <v>107527142</v>
      </c>
      <c r="K937" s="2">
        <v>45244</v>
      </c>
      <c r="L937">
        <v>21</v>
      </c>
      <c r="M937">
        <v>1</v>
      </c>
      <c r="N937">
        <v>7</v>
      </c>
      <c r="O937">
        <v>4</v>
      </c>
      <c r="P937" t="s">
        <v>7</v>
      </c>
    </row>
    <row r="938" spans="1:16">
      <c r="A938" t="s">
        <v>1021</v>
      </c>
      <c r="B938" t="s">
        <v>1167</v>
      </c>
      <c r="C938">
        <v>4.0000000000000001E-3</v>
      </c>
      <c r="D938" t="s">
        <v>756</v>
      </c>
      <c r="E938" t="s">
        <v>963</v>
      </c>
      <c r="F938" t="s">
        <v>965</v>
      </c>
      <c r="H938">
        <v>999.99900000000002</v>
      </c>
      <c r="J938">
        <v>107536958</v>
      </c>
      <c r="K938" s="2">
        <v>45252</v>
      </c>
      <c r="L938">
        <v>20</v>
      </c>
      <c r="M938">
        <v>1</v>
      </c>
      <c r="N938">
        <v>0</v>
      </c>
      <c r="O938">
        <v>1</v>
      </c>
      <c r="P938" t="s">
        <v>7</v>
      </c>
    </row>
    <row r="939" spans="1:16">
      <c r="A939" t="s">
        <v>1021</v>
      </c>
      <c r="B939" t="s">
        <v>1169</v>
      </c>
      <c r="C939">
        <v>0</v>
      </c>
      <c r="E939" t="s">
        <v>967</v>
      </c>
      <c r="F939" t="s">
        <v>965</v>
      </c>
      <c r="H939">
        <v>999.99900000000002</v>
      </c>
      <c r="J939">
        <v>107453616</v>
      </c>
      <c r="K939" s="2">
        <v>45180</v>
      </c>
      <c r="L939">
        <v>23</v>
      </c>
      <c r="M939">
        <v>1</v>
      </c>
      <c r="N939">
        <v>0</v>
      </c>
      <c r="O939">
        <v>1</v>
      </c>
      <c r="P939" t="s">
        <v>7</v>
      </c>
    </row>
    <row r="940" spans="1:16">
      <c r="A940" t="s">
        <v>1021</v>
      </c>
      <c r="B940" t="s">
        <v>965</v>
      </c>
      <c r="C940">
        <v>0</v>
      </c>
      <c r="D940" t="s">
        <v>6</v>
      </c>
      <c r="E940" t="s">
        <v>1054</v>
      </c>
      <c r="F940" t="s">
        <v>1032</v>
      </c>
      <c r="G940" t="s">
        <v>961</v>
      </c>
      <c r="H940">
        <v>1.7230000000000001</v>
      </c>
      <c r="J940">
        <v>107474941</v>
      </c>
      <c r="K940" s="2">
        <v>45201</v>
      </c>
      <c r="L940">
        <v>21</v>
      </c>
      <c r="M940">
        <v>1</v>
      </c>
      <c r="N940">
        <v>0</v>
      </c>
      <c r="O940">
        <v>1</v>
      </c>
      <c r="P940" t="s">
        <v>7</v>
      </c>
    </row>
    <row r="941" spans="1:16">
      <c r="A941" t="s">
        <v>1021</v>
      </c>
      <c r="B941" t="s">
        <v>1124</v>
      </c>
      <c r="C941">
        <v>8.9999999999999993E-3</v>
      </c>
      <c r="D941" t="s">
        <v>764</v>
      </c>
      <c r="E941" t="s">
        <v>964</v>
      </c>
      <c r="F941" t="s">
        <v>968</v>
      </c>
      <c r="H941">
        <v>999.99900000000002</v>
      </c>
      <c r="J941">
        <v>107625727</v>
      </c>
      <c r="K941" s="2">
        <v>45337</v>
      </c>
      <c r="L941">
        <v>18</v>
      </c>
      <c r="M941">
        <v>1</v>
      </c>
      <c r="N941">
        <v>0</v>
      </c>
      <c r="O941">
        <v>1</v>
      </c>
      <c r="P941" t="s">
        <v>7</v>
      </c>
    </row>
    <row r="942" spans="1:16">
      <c r="A942" t="s">
        <v>1021</v>
      </c>
      <c r="B942" t="s">
        <v>1044</v>
      </c>
      <c r="C942">
        <v>1.9E-2</v>
      </c>
      <c r="D942" t="s">
        <v>757</v>
      </c>
      <c r="E942" t="s">
        <v>965</v>
      </c>
      <c r="F942" t="s">
        <v>967</v>
      </c>
      <c r="H942">
        <v>999.99900000000002</v>
      </c>
      <c r="J942">
        <v>107625733</v>
      </c>
      <c r="K942" s="2">
        <v>45337</v>
      </c>
      <c r="L942">
        <v>32</v>
      </c>
      <c r="M942">
        <v>1</v>
      </c>
      <c r="N942">
        <v>0</v>
      </c>
      <c r="O942">
        <v>1</v>
      </c>
      <c r="P942" t="s">
        <v>7</v>
      </c>
    </row>
    <row r="943" spans="1:16">
      <c r="A943" t="s">
        <v>1021</v>
      </c>
      <c r="B943" t="s">
        <v>1023</v>
      </c>
      <c r="C943">
        <v>0</v>
      </c>
      <c r="E943" t="s">
        <v>965</v>
      </c>
      <c r="F943" t="s">
        <v>1042</v>
      </c>
      <c r="G943" t="s">
        <v>961</v>
      </c>
      <c r="H943">
        <v>0.66500000000000004</v>
      </c>
      <c r="J943">
        <v>106000019</v>
      </c>
      <c r="K943" s="2">
        <v>43707</v>
      </c>
      <c r="L943">
        <v>22</v>
      </c>
      <c r="M943">
        <v>1</v>
      </c>
      <c r="N943">
        <v>7</v>
      </c>
      <c r="O943">
        <v>1</v>
      </c>
      <c r="P943" t="s">
        <v>3</v>
      </c>
    </row>
    <row r="944" spans="1:16">
      <c r="A944" t="s">
        <v>1021</v>
      </c>
      <c r="B944" t="s">
        <v>965</v>
      </c>
      <c r="C944">
        <v>3.7999999999999999E-2</v>
      </c>
      <c r="D944" t="s">
        <v>758</v>
      </c>
      <c r="E944" t="s">
        <v>1032</v>
      </c>
      <c r="F944" t="s">
        <v>1054</v>
      </c>
      <c r="G944" t="s">
        <v>961</v>
      </c>
      <c r="H944">
        <v>1.8049999999999999</v>
      </c>
      <c r="J944">
        <v>107496325</v>
      </c>
      <c r="K944" s="2">
        <v>45219</v>
      </c>
      <c r="L944">
        <v>30</v>
      </c>
      <c r="M944">
        <v>2</v>
      </c>
      <c r="N944">
        <v>0</v>
      </c>
      <c r="O944">
        <v>1</v>
      </c>
      <c r="P944" t="s">
        <v>7</v>
      </c>
    </row>
    <row r="945" spans="1:16">
      <c r="A945" t="s">
        <v>1021</v>
      </c>
      <c r="B945" t="s">
        <v>965</v>
      </c>
      <c r="C945">
        <v>0</v>
      </c>
      <c r="E945" t="s">
        <v>1023</v>
      </c>
      <c r="F945" t="s">
        <v>1042</v>
      </c>
      <c r="G945" t="s">
        <v>961</v>
      </c>
      <c r="H945">
        <v>0.66500000000000004</v>
      </c>
      <c r="J945">
        <v>107449158</v>
      </c>
      <c r="K945" s="2">
        <v>45175</v>
      </c>
      <c r="L945">
        <v>21</v>
      </c>
      <c r="M945">
        <v>1</v>
      </c>
      <c r="N945">
        <v>7</v>
      </c>
      <c r="O945">
        <v>1</v>
      </c>
      <c r="P945" t="s">
        <v>7</v>
      </c>
    </row>
    <row r="946" spans="1:16">
      <c r="A946" t="s">
        <v>1021</v>
      </c>
      <c r="B946" t="s">
        <v>965</v>
      </c>
      <c r="C946">
        <v>0</v>
      </c>
      <c r="E946" t="s">
        <v>967</v>
      </c>
      <c r="F946" t="s">
        <v>968</v>
      </c>
      <c r="G946" t="s">
        <v>961</v>
      </c>
      <c r="H946">
        <v>0.21099999999999999</v>
      </c>
      <c r="J946">
        <v>107416680</v>
      </c>
      <c r="K946" s="2">
        <v>45141</v>
      </c>
      <c r="L946">
        <v>25</v>
      </c>
      <c r="M946">
        <v>1</v>
      </c>
      <c r="N946">
        <v>7</v>
      </c>
      <c r="O946">
        <v>1</v>
      </c>
      <c r="P946" t="s">
        <v>8</v>
      </c>
    </row>
    <row r="947" spans="1:16">
      <c r="A947" t="s">
        <v>1021</v>
      </c>
      <c r="B947" t="s">
        <v>1052</v>
      </c>
      <c r="C947">
        <v>8.9999999999999993E-3</v>
      </c>
      <c r="D947" t="s">
        <v>757</v>
      </c>
      <c r="E947" t="s">
        <v>962</v>
      </c>
      <c r="F947" t="s">
        <v>1053</v>
      </c>
      <c r="H947">
        <v>999.99900000000002</v>
      </c>
      <c r="J947">
        <v>107505077</v>
      </c>
      <c r="K947" s="2">
        <v>45211</v>
      </c>
      <c r="L947">
        <v>32</v>
      </c>
      <c r="M947">
        <v>1</v>
      </c>
      <c r="N947">
        <v>0</v>
      </c>
      <c r="O947">
        <v>1</v>
      </c>
      <c r="P947" t="s">
        <v>7</v>
      </c>
    </row>
    <row r="948" spans="1:16">
      <c r="A948" t="s">
        <v>1021</v>
      </c>
      <c r="B948" t="s">
        <v>965</v>
      </c>
      <c r="C948">
        <v>0</v>
      </c>
      <c r="D948" t="s">
        <v>758</v>
      </c>
      <c r="E948" t="s">
        <v>967</v>
      </c>
      <c r="F948" t="s">
        <v>968</v>
      </c>
      <c r="G948" t="s">
        <v>961</v>
      </c>
      <c r="H948">
        <v>0.21099999999999999</v>
      </c>
      <c r="J948">
        <v>107468744</v>
      </c>
      <c r="K948" s="2">
        <v>45194</v>
      </c>
      <c r="L948">
        <v>21</v>
      </c>
      <c r="M948">
        <v>1</v>
      </c>
      <c r="N948">
        <v>7</v>
      </c>
      <c r="O948">
        <v>1</v>
      </c>
      <c r="P948" t="s">
        <v>7</v>
      </c>
    </row>
    <row r="949" spans="1:16">
      <c r="A949" t="s">
        <v>1021</v>
      </c>
      <c r="B949" t="s">
        <v>965</v>
      </c>
      <c r="C949">
        <v>0</v>
      </c>
      <c r="D949" t="s">
        <v>756</v>
      </c>
      <c r="E949" t="s">
        <v>1035</v>
      </c>
      <c r="F949" t="s">
        <v>1026</v>
      </c>
      <c r="G949" t="s">
        <v>961</v>
      </c>
      <c r="H949">
        <v>1.893</v>
      </c>
      <c r="J949">
        <v>107610731</v>
      </c>
      <c r="K949" s="2">
        <v>45321</v>
      </c>
      <c r="L949">
        <v>30</v>
      </c>
      <c r="M949">
        <v>1</v>
      </c>
      <c r="N949">
        <v>0</v>
      </c>
      <c r="O949">
        <v>1</v>
      </c>
      <c r="P949" t="s">
        <v>7</v>
      </c>
    </row>
    <row r="950" spans="1:16">
      <c r="A950" t="s">
        <v>1021</v>
      </c>
      <c r="B950" t="s">
        <v>979</v>
      </c>
      <c r="C950">
        <v>0</v>
      </c>
      <c r="E950" t="s">
        <v>965</v>
      </c>
      <c r="F950" t="s">
        <v>1071</v>
      </c>
      <c r="G950" t="s">
        <v>979</v>
      </c>
      <c r="H950">
        <v>9.6630000000000003</v>
      </c>
      <c r="J950">
        <v>107622107</v>
      </c>
      <c r="K950" s="2">
        <v>45333</v>
      </c>
      <c r="L950">
        <v>28</v>
      </c>
      <c r="M950">
        <v>2</v>
      </c>
      <c r="N950">
        <v>18</v>
      </c>
      <c r="O950">
        <v>1</v>
      </c>
      <c r="P950" t="s">
        <v>7</v>
      </c>
    </row>
    <row r="951" spans="1:16">
      <c r="A951" t="s">
        <v>1021</v>
      </c>
      <c r="B951" t="s">
        <v>965</v>
      </c>
      <c r="C951">
        <v>0</v>
      </c>
      <c r="D951" t="s">
        <v>765</v>
      </c>
      <c r="E951" t="s">
        <v>968</v>
      </c>
      <c r="F951" t="s">
        <v>986</v>
      </c>
      <c r="G951" t="s">
        <v>962</v>
      </c>
      <c r="H951">
        <v>2.1920000000000002</v>
      </c>
      <c r="J951">
        <v>107601223</v>
      </c>
      <c r="K951" s="2">
        <v>45313</v>
      </c>
      <c r="L951">
        <v>21</v>
      </c>
      <c r="M951">
        <v>1</v>
      </c>
      <c r="N951">
        <v>7</v>
      </c>
      <c r="O951">
        <v>4</v>
      </c>
      <c r="P951" t="s">
        <v>7</v>
      </c>
    </row>
    <row r="952" spans="1:16">
      <c r="A952" t="s">
        <v>1021</v>
      </c>
      <c r="B952" t="s">
        <v>965</v>
      </c>
      <c r="C952">
        <v>2.4E-2</v>
      </c>
      <c r="D952" t="s">
        <v>758</v>
      </c>
      <c r="E952" t="s">
        <v>967</v>
      </c>
      <c r="F952" t="s">
        <v>968</v>
      </c>
      <c r="G952" t="s">
        <v>961</v>
      </c>
      <c r="H952">
        <v>0.187</v>
      </c>
      <c r="J952">
        <v>107495942</v>
      </c>
      <c r="K952" s="2">
        <v>45217</v>
      </c>
      <c r="L952">
        <v>30</v>
      </c>
      <c r="M952">
        <v>1</v>
      </c>
      <c r="N952">
        <v>7</v>
      </c>
      <c r="O952">
        <v>1</v>
      </c>
      <c r="P952" t="s">
        <v>7</v>
      </c>
    </row>
    <row r="953" spans="1:16">
      <c r="A953" t="s">
        <v>1021</v>
      </c>
      <c r="B953" t="s">
        <v>968</v>
      </c>
      <c r="C953">
        <v>2.5999999999999999E-2</v>
      </c>
      <c r="D953" t="s">
        <v>6</v>
      </c>
      <c r="E953" t="s">
        <v>964</v>
      </c>
      <c r="F953" t="s">
        <v>1072</v>
      </c>
      <c r="G953" t="s">
        <v>968</v>
      </c>
      <c r="H953">
        <v>8.0950000000000006</v>
      </c>
      <c r="J953">
        <v>107521749</v>
      </c>
      <c r="K953" s="2">
        <v>45239</v>
      </c>
      <c r="L953">
        <v>28</v>
      </c>
      <c r="M953">
        <v>1</v>
      </c>
      <c r="N953">
        <v>0</v>
      </c>
      <c r="O953">
        <v>1</v>
      </c>
      <c r="P953" t="s">
        <v>7</v>
      </c>
    </row>
    <row r="954" spans="1:16">
      <c r="A954" t="s">
        <v>1021</v>
      </c>
      <c r="B954" t="s">
        <v>965</v>
      </c>
      <c r="C954">
        <v>3.7999999999999999E-2</v>
      </c>
      <c r="D954" t="s">
        <v>756</v>
      </c>
      <c r="E954" t="s">
        <v>1033</v>
      </c>
      <c r="F954" t="s">
        <v>1026</v>
      </c>
      <c r="G954" t="s">
        <v>1036</v>
      </c>
      <c r="H954">
        <v>0.51800000000000002</v>
      </c>
      <c r="J954">
        <v>107590484</v>
      </c>
      <c r="K954" s="2">
        <v>45301</v>
      </c>
      <c r="L954">
        <v>21</v>
      </c>
      <c r="M954">
        <v>1</v>
      </c>
      <c r="N954">
        <v>0</v>
      </c>
      <c r="O954">
        <v>1</v>
      </c>
      <c r="P954" t="s">
        <v>7</v>
      </c>
    </row>
    <row r="955" spans="1:16">
      <c r="A955" t="s">
        <v>1021</v>
      </c>
      <c r="B955" t="s">
        <v>965</v>
      </c>
      <c r="C955">
        <v>8.9999999999999993E-3</v>
      </c>
      <c r="D955" t="s">
        <v>762</v>
      </c>
      <c r="E955" t="s">
        <v>1054</v>
      </c>
      <c r="F955" t="s">
        <v>1032</v>
      </c>
      <c r="G955" t="s">
        <v>961</v>
      </c>
      <c r="H955">
        <v>1.732</v>
      </c>
      <c r="J955">
        <v>107615077</v>
      </c>
      <c r="K955" s="2">
        <v>45327</v>
      </c>
      <c r="L955">
        <v>21</v>
      </c>
      <c r="M955">
        <v>1</v>
      </c>
      <c r="N955">
        <v>0</v>
      </c>
      <c r="O955">
        <v>1</v>
      </c>
      <c r="P955" t="s">
        <v>7</v>
      </c>
    </row>
    <row r="956" spans="1:16">
      <c r="A956" t="s">
        <v>1021</v>
      </c>
      <c r="B956" t="s">
        <v>967</v>
      </c>
      <c r="C956">
        <v>0.15</v>
      </c>
      <c r="D956" t="s">
        <v>6</v>
      </c>
      <c r="E956" t="s">
        <v>964</v>
      </c>
      <c r="F956" t="s">
        <v>1029</v>
      </c>
      <c r="G956" t="s">
        <v>967</v>
      </c>
      <c r="H956">
        <v>999.99900000000002</v>
      </c>
      <c r="J956">
        <v>106186244</v>
      </c>
      <c r="K956" s="2">
        <v>43852</v>
      </c>
      <c r="L956">
        <v>21</v>
      </c>
      <c r="M956">
        <v>1</v>
      </c>
      <c r="N956">
        <v>0</v>
      </c>
      <c r="O956">
        <v>1</v>
      </c>
      <c r="P956" t="s">
        <v>7</v>
      </c>
    </row>
    <row r="957" spans="1:16">
      <c r="A957" t="s">
        <v>1021</v>
      </c>
      <c r="B957" t="s">
        <v>965</v>
      </c>
      <c r="C957">
        <v>0</v>
      </c>
      <c r="E957" t="s">
        <v>1035</v>
      </c>
      <c r="F957" t="s">
        <v>1032</v>
      </c>
      <c r="G957" t="s">
        <v>961</v>
      </c>
      <c r="H957">
        <v>1.893</v>
      </c>
      <c r="J957">
        <v>106254564</v>
      </c>
      <c r="K957" s="2">
        <v>43941</v>
      </c>
      <c r="L957">
        <v>24</v>
      </c>
      <c r="M957">
        <v>1</v>
      </c>
      <c r="N957">
        <v>7</v>
      </c>
      <c r="O957">
        <v>1</v>
      </c>
      <c r="P957" t="s">
        <v>7</v>
      </c>
    </row>
    <row r="958" spans="1:16">
      <c r="A958" t="s">
        <v>1021</v>
      </c>
      <c r="B958" t="s">
        <v>965</v>
      </c>
      <c r="C958">
        <v>0.14000000000000001</v>
      </c>
      <c r="D958" t="s">
        <v>764</v>
      </c>
      <c r="E958" t="s">
        <v>1083</v>
      </c>
      <c r="F958" t="s">
        <v>965</v>
      </c>
      <c r="G958" t="s">
        <v>965</v>
      </c>
      <c r="H958">
        <v>999.99900000000002</v>
      </c>
      <c r="J958">
        <v>107588638</v>
      </c>
      <c r="K958" s="2">
        <v>45300</v>
      </c>
      <c r="L958">
        <v>30</v>
      </c>
      <c r="M958">
        <v>2</v>
      </c>
      <c r="N958">
        <v>8</v>
      </c>
      <c r="O958">
        <v>1</v>
      </c>
      <c r="P958" t="s">
        <v>7</v>
      </c>
    </row>
    <row r="959" spans="1:16">
      <c r="A959" t="s">
        <v>1021</v>
      </c>
      <c r="B959" t="s">
        <v>1044</v>
      </c>
      <c r="C959">
        <v>0.01</v>
      </c>
      <c r="D959" t="s">
        <v>757</v>
      </c>
      <c r="E959" t="s">
        <v>965</v>
      </c>
      <c r="H959">
        <v>999.99900000000002</v>
      </c>
      <c r="J959">
        <v>107592517</v>
      </c>
      <c r="K959" s="2">
        <v>45302</v>
      </c>
      <c r="L959">
        <v>20</v>
      </c>
      <c r="M959">
        <v>1</v>
      </c>
      <c r="N959">
        <v>0</v>
      </c>
      <c r="O959">
        <v>1</v>
      </c>
      <c r="P959" t="s">
        <v>7</v>
      </c>
    </row>
    <row r="960" spans="1:16">
      <c r="A960" t="s">
        <v>1021</v>
      </c>
      <c r="B960" t="s">
        <v>1032</v>
      </c>
      <c r="C960">
        <v>0</v>
      </c>
      <c r="E960" t="s">
        <v>965</v>
      </c>
      <c r="F960" t="s">
        <v>1170</v>
      </c>
      <c r="G960" t="s">
        <v>1032</v>
      </c>
      <c r="H960">
        <v>0.12</v>
      </c>
      <c r="J960">
        <v>107513704</v>
      </c>
      <c r="K960" s="2">
        <v>45234</v>
      </c>
      <c r="L960">
        <v>30</v>
      </c>
      <c r="M960">
        <v>1</v>
      </c>
      <c r="N960">
        <v>7</v>
      </c>
      <c r="O960">
        <v>4</v>
      </c>
      <c r="P960" t="s">
        <v>3</v>
      </c>
    </row>
    <row r="961" spans="1:16">
      <c r="A961" t="s">
        <v>1021</v>
      </c>
      <c r="B961" t="s">
        <v>965</v>
      </c>
      <c r="C961">
        <v>0</v>
      </c>
      <c r="E961" t="s">
        <v>1062</v>
      </c>
      <c r="G961" t="s">
        <v>1063</v>
      </c>
      <c r="H961">
        <v>0.53900000000000003</v>
      </c>
      <c r="J961">
        <v>107496348</v>
      </c>
      <c r="K961" s="2">
        <v>45220</v>
      </c>
      <c r="L961">
        <v>21</v>
      </c>
      <c r="M961">
        <v>1</v>
      </c>
      <c r="N961">
        <v>9</v>
      </c>
      <c r="O961">
        <v>1</v>
      </c>
      <c r="P961" t="s">
        <v>3</v>
      </c>
    </row>
    <row r="962" spans="1:16">
      <c r="A962" t="s">
        <v>1021</v>
      </c>
      <c r="B962" t="s">
        <v>1132</v>
      </c>
      <c r="C962">
        <v>0</v>
      </c>
      <c r="E962" t="s">
        <v>966</v>
      </c>
      <c r="F962" t="s">
        <v>1152</v>
      </c>
      <c r="G962" t="s">
        <v>1153</v>
      </c>
      <c r="H962">
        <v>7.5110000000000001</v>
      </c>
      <c r="J962">
        <v>108017099</v>
      </c>
      <c r="K962" s="2">
        <v>45699</v>
      </c>
      <c r="L962">
        <v>21</v>
      </c>
      <c r="M962">
        <v>2</v>
      </c>
      <c r="N962">
        <v>8</v>
      </c>
      <c r="O962">
        <v>1</v>
      </c>
      <c r="P962" t="s">
        <v>7</v>
      </c>
    </row>
    <row r="963" spans="1:16">
      <c r="A963" t="s">
        <v>1021</v>
      </c>
      <c r="B963" t="s">
        <v>965</v>
      </c>
      <c r="C963">
        <v>7.5999999999999998E-2</v>
      </c>
      <c r="D963" t="s">
        <v>758</v>
      </c>
      <c r="E963" t="s">
        <v>963</v>
      </c>
      <c r="F963" t="s">
        <v>968</v>
      </c>
      <c r="G963" t="s">
        <v>961</v>
      </c>
      <c r="H963">
        <v>0.13500000000000001</v>
      </c>
      <c r="J963">
        <v>107574287</v>
      </c>
      <c r="K963" s="2">
        <v>45283</v>
      </c>
      <c r="L963">
        <v>21</v>
      </c>
      <c r="M963">
        <v>1</v>
      </c>
      <c r="N963">
        <v>0</v>
      </c>
      <c r="O963">
        <v>1</v>
      </c>
      <c r="P963" t="s">
        <v>7</v>
      </c>
    </row>
    <row r="964" spans="1:16">
      <c r="A964" t="s">
        <v>1021</v>
      </c>
      <c r="B964" t="s">
        <v>1044</v>
      </c>
      <c r="C964">
        <v>1.9E-2</v>
      </c>
      <c r="D964" t="s">
        <v>757</v>
      </c>
      <c r="E964" t="s">
        <v>965</v>
      </c>
      <c r="H964">
        <v>999.99900000000002</v>
      </c>
      <c r="J964">
        <v>107596371</v>
      </c>
      <c r="K964" s="2">
        <v>45308</v>
      </c>
      <c r="L964">
        <v>19</v>
      </c>
      <c r="M964">
        <v>1</v>
      </c>
      <c r="N964">
        <v>0</v>
      </c>
      <c r="O964">
        <v>1</v>
      </c>
      <c r="P964" t="s">
        <v>7</v>
      </c>
    </row>
    <row r="965" spans="1:16">
      <c r="A965" t="s">
        <v>1021</v>
      </c>
      <c r="B965" t="s">
        <v>965</v>
      </c>
      <c r="C965">
        <v>0</v>
      </c>
      <c r="E965" t="s">
        <v>967</v>
      </c>
      <c r="F965" t="s">
        <v>968</v>
      </c>
      <c r="G965" t="s">
        <v>961</v>
      </c>
      <c r="H965">
        <v>0.21099999999999999</v>
      </c>
      <c r="J965">
        <v>107526751</v>
      </c>
      <c r="K965" s="2">
        <v>45244</v>
      </c>
      <c r="L965">
        <v>23</v>
      </c>
      <c r="M965">
        <v>1</v>
      </c>
      <c r="N965">
        <v>0</v>
      </c>
      <c r="O965">
        <v>1</v>
      </c>
      <c r="P965" t="s">
        <v>3</v>
      </c>
    </row>
    <row r="966" spans="1:16">
      <c r="A966" t="s">
        <v>1021</v>
      </c>
      <c r="B966" t="s">
        <v>965</v>
      </c>
      <c r="C966">
        <v>0</v>
      </c>
      <c r="E966" t="s">
        <v>1033</v>
      </c>
      <c r="F966" t="s">
        <v>1035</v>
      </c>
      <c r="G966" t="s">
        <v>961</v>
      </c>
      <c r="H966">
        <v>1.893</v>
      </c>
      <c r="J966">
        <v>107576146</v>
      </c>
      <c r="K966" s="2">
        <v>45286</v>
      </c>
      <c r="L966">
        <v>23</v>
      </c>
      <c r="M966">
        <v>2</v>
      </c>
      <c r="N966">
        <v>7</v>
      </c>
      <c r="O966">
        <v>4</v>
      </c>
      <c r="P966" t="s">
        <v>7</v>
      </c>
    </row>
    <row r="967" spans="1:16">
      <c r="A967" t="s">
        <v>1021</v>
      </c>
      <c r="B967" t="s">
        <v>965</v>
      </c>
      <c r="C967">
        <v>0</v>
      </c>
      <c r="E967" t="s">
        <v>968</v>
      </c>
      <c r="F967" t="s">
        <v>986</v>
      </c>
      <c r="G967" t="s">
        <v>962</v>
      </c>
      <c r="H967">
        <v>2.1920000000000002</v>
      </c>
      <c r="J967">
        <v>107580675</v>
      </c>
      <c r="K967" s="2">
        <v>45291</v>
      </c>
      <c r="L967">
        <v>21</v>
      </c>
      <c r="M967">
        <v>1</v>
      </c>
      <c r="N967">
        <v>0</v>
      </c>
      <c r="O967">
        <v>4</v>
      </c>
      <c r="P967" t="s">
        <v>7</v>
      </c>
    </row>
    <row r="968" spans="1:16">
      <c r="A968" t="s">
        <v>1021</v>
      </c>
      <c r="B968" t="s">
        <v>965</v>
      </c>
      <c r="C968">
        <v>0.11</v>
      </c>
      <c r="D968" t="s">
        <v>758</v>
      </c>
      <c r="E968" t="s">
        <v>967</v>
      </c>
      <c r="F968" t="s">
        <v>968</v>
      </c>
      <c r="G968" t="s">
        <v>961</v>
      </c>
      <c r="H968">
        <v>0.10100000000000001</v>
      </c>
      <c r="J968">
        <v>107635370</v>
      </c>
      <c r="K968" s="2">
        <v>45345</v>
      </c>
      <c r="L968">
        <v>30</v>
      </c>
      <c r="M968">
        <v>1</v>
      </c>
      <c r="N968">
        <v>8</v>
      </c>
      <c r="O968">
        <v>1</v>
      </c>
      <c r="P968" t="s">
        <v>7</v>
      </c>
    </row>
    <row r="969" spans="1:16">
      <c r="A969" t="s">
        <v>1021</v>
      </c>
      <c r="B969" t="s">
        <v>965</v>
      </c>
      <c r="C969">
        <v>7.0000000000000007E-2</v>
      </c>
      <c r="D969" t="s">
        <v>756</v>
      </c>
      <c r="E969" t="s">
        <v>1104</v>
      </c>
      <c r="F969" t="s">
        <v>1023</v>
      </c>
      <c r="G969" t="s">
        <v>965</v>
      </c>
      <c r="H969">
        <v>999.99900000000002</v>
      </c>
      <c r="J969">
        <v>107518898</v>
      </c>
      <c r="K969" s="2">
        <v>45238</v>
      </c>
      <c r="L969">
        <v>19</v>
      </c>
      <c r="M969">
        <v>1</v>
      </c>
      <c r="N969">
        <v>8</v>
      </c>
      <c r="O969">
        <v>5</v>
      </c>
      <c r="P969" t="s">
        <v>7</v>
      </c>
    </row>
    <row r="970" spans="1:16">
      <c r="A970" t="s">
        <v>1021</v>
      </c>
      <c r="B970" t="s">
        <v>968</v>
      </c>
      <c r="C970">
        <v>0.01</v>
      </c>
      <c r="D970" t="s">
        <v>6</v>
      </c>
      <c r="E970" t="s">
        <v>964</v>
      </c>
      <c r="F970" t="s">
        <v>965</v>
      </c>
      <c r="G970" t="s">
        <v>968</v>
      </c>
      <c r="H970">
        <v>8.1110000000000007</v>
      </c>
      <c r="J970">
        <v>107353813</v>
      </c>
      <c r="K970" s="2">
        <v>45080</v>
      </c>
      <c r="L970">
        <v>21</v>
      </c>
      <c r="M970">
        <v>1</v>
      </c>
      <c r="N970">
        <v>0</v>
      </c>
      <c r="O970">
        <v>1</v>
      </c>
      <c r="P970" t="s">
        <v>7</v>
      </c>
    </row>
    <row r="971" spans="1:16">
      <c r="A971" t="s">
        <v>1021</v>
      </c>
      <c r="B971" t="s">
        <v>965</v>
      </c>
      <c r="C971">
        <v>7.0000000000000007E-2</v>
      </c>
      <c r="D971" t="s">
        <v>762</v>
      </c>
      <c r="E971" t="s">
        <v>1054</v>
      </c>
      <c r="F971" t="s">
        <v>1032</v>
      </c>
      <c r="G971" t="s">
        <v>961</v>
      </c>
      <c r="H971">
        <v>1.7929999999999999</v>
      </c>
      <c r="J971">
        <v>107618965</v>
      </c>
      <c r="K971" s="2">
        <v>45331</v>
      </c>
      <c r="L971">
        <v>24</v>
      </c>
      <c r="M971">
        <v>1</v>
      </c>
      <c r="N971">
        <v>8</v>
      </c>
      <c r="O971">
        <v>4</v>
      </c>
      <c r="P971" t="s">
        <v>7</v>
      </c>
    </row>
    <row r="972" spans="1:16">
      <c r="A972" t="s">
        <v>1021</v>
      </c>
      <c r="B972" t="s">
        <v>965</v>
      </c>
      <c r="C972">
        <v>3.7999999999999999E-2</v>
      </c>
      <c r="D972" t="s">
        <v>756</v>
      </c>
      <c r="E972" t="s">
        <v>968</v>
      </c>
      <c r="F972" t="s">
        <v>964</v>
      </c>
      <c r="G972" t="s">
        <v>961</v>
      </c>
      <c r="H972">
        <v>3.7999999999999999E-2</v>
      </c>
      <c r="J972">
        <v>107629002</v>
      </c>
      <c r="K972" s="2">
        <v>45342</v>
      </c>
      <c r="L972">
        <v>23</v>
      </c>
      <c r="M972">
        <v>1</v>
      </c>
      <c r="N972">
        <v>0</v>
      </c>
      <c r="O972">
        <v>1</v>
      </c>
      <c r="P972" t="s">
        <v>7</v>
      </c>
    </row>
    <row r="973" spans="1:16">
      <c r="A973" t="s">
        <v>1021</v>
      </c>
      <c r="B973" t="s">
        <v>965</v>
      </c>
      <c r="C973">
        <v>0</v>
      </c>
      <c r="E973" t="s">
        <v>1023</v>
      </c>
      <c r="G973" t="s">
        <v>961</v>
      </c>
      <c r="H973">
        <v>0.66500000000000004</v>
      </c>
      <c r="J973">
        <v>107580676</v>
      </c>
      <c r="K973" s="2">
        <v>45291</v>
      </c>
      <c r="L973">
        <v>23</v>
      </c>
      <c r="M973">
        <v>1</v>
      </c>
      <c r="N973">
        <v>7</v>
      </c>
      <c r="O973">
        <v>4</v>
      </c>
      <c r="P973" t="s">
        <v>7</v>
      </c>
    </row>
    <row r="974" spans="1:16">
      <c r="A974" t="s">
        <v>1021</v>
      </c>
      <c r="B974" t="s">
        <v>965</v>
      </c>
      <c r="C974">
        <v>5.7000000000000002E-2</v>
      </c>
      <c r="D974" t="s">
        <v>756</v>
      </c>
      <c r="E974" t="s">
        <v>1039</v>
      </c>
      <c r="F974" t="s">
        <v>1056</v>
      </c>
      <c r="G974" t="s">
        <v>961</v>
      </c>
      <c r="H974">
        <v>0.89600000000000002</v>
      </c>
      <c r="J974">
        <v>107518891</v>
      </c>
      <c r="K974" s="2">
        <v>45237</v>
      </c>
      <c r="L974">
        <v>17</v>
      </c>
      <c r="M974">
        <v>1</v>
      </c>
      <c r="N974">
        <v>0</v>
      </c>
      <c r="O974">
        <v>5</v>
      </c>
      <c r="P974" t="s">
        <v>7</v>
      </c>
    </row>
    <row r="975" spans="1:16">
      <c r="A975" t="s">
        <v>1021</v>
      </c>
      <c r="B975" t="s">
        <v>1023</v>
      </c>
      <c r="C975">
        <v>0</v>
      </c>
      <c r="E975" t="s">
        <v>965</v>
      </c>
      <c r="G975" t="s">
        <v>961</v>
      </c>
      <c r="H975">
        <v>0.66500000000000004</v>
      </c>
      <c r="J975">
        <v>107564797</v>
      </c>
      <c r="K975" s="2">
        <v>45275</v>
      </c>
      <c r="L975">
        <v>21</v>
      </c>
      <c r="M975">
        <v>1</v>
      </c>
      <c r="N975">
        <v>7</v>
      </c>
      <c r="O975">
        <v>4</v>
      </c>
      <c r="P975" t="s">
        <v>7</v>
      </c>
    </row>
    <row r="976" spans="1:16">
      <c r="A976" t="s">
        <v>1021</v>
      </c>
      <c r="B976" t="s">
        <v>968</v>
      </c>
      <c r="C976">
        <v>0</v>
      </c>
      <c r="D976" t="s">
        <v>757</v>
      </c>
      <c r="E976" t="s">
        <v>965</v>
      </c>
      <c r="F976" t="s">
        <v>964</v>
      </c>
      <c r="G976" t="s">
        <v>968</v>
      </c>
      <c r="H976">
        <v>7.75</v>
      </c>
      <c r="J976">
        <v>107577516</v>
      </c>
      <c r="K976" s="2">
        <v>45287</v>
      </c>
      <c r="L976">
        <v>28</v>
      </c>
      <c r="M976">
        <v>2</v>
      </c>
      <c r="N976">
        <v>4</v>
      </c>
      <c r="O976">
        <v>1</v>
      </c>
      <c r="P976" t="s">
        <v>7</v>
      </c>
    </row>
    <row r="977" spans="1:19">
      <c r="A977" t="s">
        <v>1021</v>
      </c>
      <c r="B977" t="s">
        <v>965</v>
      </c>
      <c r="C977">
        <v>0</v>
      </c>
      <c r="E977" t="s">
        <v>979</v>
      </c>
      <c r="F977" t="s">
        <v>1054</v>
      </c>
      <c r="G977" t="s">
        <v>961</v>
      </c>
      <c r="H977">
        <v>1.5960000000000001</v>
      </c>
      <c r="J977">
        <v>107564795</v>
      </c>
      <c r="K977" s="2">
        <v>45265</v>
      </c>
      <c r="L977">
        <v>30</v>
      </c>
      <c r="M977">
        <v>1</v>
      </c>
      <c r="N977">
        <v>7</v>
      </c>
      <c r="O977">
        <v>1</v>
      </c>
      <c r="P977" t="s">
        <v>7</v>
      </c>
    </row>
    <row r="978" spans="1:19">
      <c r="A978" t="s">
        <v>754</v>
      </c>
      <c r="B978" t="s">
        <v>968</v>
      </c>
      <c r="C978">
        <v>0</v>
      </c>
      <c r="E978" t="s">
        <v>962</v>
      </c>
      <c r="F978" t="s">
        <v>960</v>
      </c>
      <c r="G978" t="s">
        <v>968</v>
      </c>
      <c r="H978">
        <v>7.75</v>
      </c>
      <c r="J978">
        <v>107579695</v>
      </c>
      <c r="K978" s="2">
        <v>45289</v>
      </c>
      <c r="L978">
        <v>23</v>
      </c>
      <c r="M978">
        <v>1</v>
      </c>
      <c r="N978">
        <v>7</v>
      </c>
      <c r="O978">
        <v>5</v>
      </c>
      <c r="P978" t="s">
        <v>7</v>
      </c>
      <c r="Q978">
        <v>35.177379999999999</v>
      </c>
      <c r="R978">
        <v>-79.431399999999996</v>
      </c>
      <c r="S978" t="s">
        <v>761</v>
      </c>
    </row>
    <row r="979" spans="1:19">
      <c r="A979" t="s">
        <v>1021</v>
      </c>
      <c r="B979" t="s">
        <v>965</v>
      </c>
      <c r="C979">
        <v>0</v>
      </c>
      <c r="E979" t="s">
        <v>968</v>
      </c>
      <c r="F979" t="s">
        <v>967</v>
      </c>
      <c r="G979" t="s">
        <v>962</v>
      </c>
      <c r="H979">
        <v>2.1920000000000002</v>
      </c>
      <c r="J979">
        <v>107579959</v>
      </c>
      <c r="K979" s="2">
        <v>45290</v>
      </c>
      <c r="L979">
        <v>21</v>
      </c>
      <c r="M979">
        <v>1</v>
      </c>
      <c r="N979">
        <v>7</v>
      </c>
      <c r="O979">
        <v>5</v>
      </c>
      <c r="P979" t="s">
        <v>7</v>
      </c>
    </row>
    <row r="980" spans="1:19">
      <c r="A980" t="s">
        <v>1021</v>
      </c>
      <c r="B980" t="s">
        <v>965</v>
      </c>
      <c r="C980">
        <v>8.9999999999999993E-3</v>
      </c>
      <c r="D980" t="s">
        <v>758</v>
      </c>
      <c r="E980" t="s">
        <v>968</v>
      </c>
      <c r="F980" t="s">
        <v>986</v>
      </c>
      <c r="G980" t="s">
        <v>962</v>
      </c>
      <c r="H980">
        <v>2.1829999999999998</v>
      </c>
      <c r="J980">
        <v>107629118</v>
      </c>
      <c r="K980" s="2">
        <v>45342</v>
      </c>
      <c r="L980">
        <v>21</v>
      </c>
      <c r="M980">
        <v>1</v>
      </c>
      <c r="N980">
        <v>7</v>
      </c>
      <c r="O980">
        <v>1</v>
      </c>
      <c r="P980" t="s">
        <v>7</v>
      </c>
    </row>
    <row r="981" spans="1:19">
      <c r="A981" t="s">
        <v>1021</v>
      </c>
      <c r="B981" t="s">
        <v>965</v>
      </c>
      <c r="C981">
        <v>0</v>
      </c>
      <c r="E981" t="s">
        <v>1023</v>
      </c>
      <c r="F981" t="s">
        <v>1020</v>
      </c>
      <c r="G981" t="s">
        <v>961</v>
      </c>
      <c r="H981">
        <v>0.66500000000000004</v>
      </c>
      <c r="J981">
        <v>107621369</v>
      </c>
      <c r="K981" s="2">
        <v>45327</v>
      </c>
      <c r="L981">
        <v>24</v>
      </c>
      <c r="M981">
        <v>1</v>
      </c>
      <c r="N981">
        <v>7</v>
      </c>
      <c r="O981">
        <v>1</v>
      </c>
      <c r="P981" t="s">
        <v>10</v>
      </c>
    </row>
    <row r="982" spans="1:19">
      <c r="A982" t="s">
        <v>1021</v>
      </c>
      <c r="B982" t="s">
        <v>1032</v>
      </c>
      <c r="C982">
        <v>0</v>
      </c>
      <c r="E982" t="s">
        <v>965</v>
      </c>
      <c r="F982" t="s">
        <v>1040</v>
      </c>
      <c r="G982" t="s">
        <v>1032</v>
      </c>
      <c r="H982">
        <v>0.12</v>
      </c>
      <c r="J982">
        <v>107826061</v>
      </c>
      <c r="K982" s="2">
        <v>45525</v>
      </c>
      <c r="L982">
        <v>24</v>
      </c>
      <c r="M982">
        <v>1</v>
      </c>
      <c r="N982">
        <v>0</v>
      </c>
      <c r="O982">
        <v>1</v>
      </c>
      <c r="P982" t="s">
        <v>7</v>
      </c>
    </row>
    <row r="983" spans="1:19">
      <c r="A983" t="s">
        <v>1021</v>
      </c>
      <c r="B983" t="s">
        <v>965</v>
      </c>
      <c r="C983">
        <v>0</v>
      </c>
      <c r="E983" t="s">
        <v>977</v>
      </c>
      <c r="F983" t="s">
        <v>968</v>
      </c>
      <c r="G983" t="s">
        <v>962</v>
      </c>
      <c r="H983">
        <v>1.988</v>
      </c>
      <c r="J983">
        <v>107519842</v>
      </c>
      <c r="K983" s="2">
        <v>45237</v>
      </c>
      <c r="L983">
        <v>22</v>
      </c>
      <c r="M983">
        <v>1</v>
      </c>
      <c r="N983">
        <v>8</v>
      </c>
      <c r="O983">
        <v>1</v>
      </c>
      <c r="P983" t="s">
        <v>7</v>
      </c>
    </row>
    <row r="984" spans="1:19">
      <c r="A984" t="s">
        <v>1021</v>
      </c>
      <c r="B984" t="s">
        <v>968</v>
      </c>
      <c r="C984">
        <v>0</v>
      </c>
      <c r="E984" t="s">
        <v>965</v>
      </c>
      <c r="G984" t="s">
        <v>968</v>
      </c>
      <c r="H984">
        <v>7.75</v>
      </c>
      <c r="J984">
        <v>107678020</v>
      </c>
      <c r="K984" s="2">
        <v>45387</v>
      </c>
      <c r="L984">
        <v>28</v>
      </c>
      <c r="M984">
        <v>1</v>
      </c>
      <c r="N984">
        <v>7</v>
      </c>
      <c r="O984">
        <v>5</v>
      </c>
      <c r="P984" t="s">
        <v>7</v>
      </c>
    </row>
    <row r="985" spans="1:19">
      <c r="A985" t="s">
        <v>1021</v>
      </c>
      <c r="B985" t="s">
        <v>965</v>
      </c>
      <c r="C985">
        <v>0</v>
      </c>
      <c r="E985" t="s">
        <v>979</v>
      </c>
      <c r="F985" t="s">
        <v>1052</v>
      </c>
      <c r="G985" t="s">
        <v>961</v>
      </c>
      <c r="H985">
        <v>1.5960000000000001</v>
      </c>
      <c r="J985">
        <v>107686011</v>
      </c>
      <c r="K985" s="2">
        <v>45394</v>
      </c>
      <c r="L985">
        <v>23</v>
      </c>
      <c r="M985">
        <v>1</v>
      </c>
      <c r="N985">
        <v>7</v>
      </c>
      <c r="O985">
        <v>1</v>
      </c>
      <c r="P985" t="s">
        <v>7</v>
      </c>
    </row>
    <row r="986" spans="1:19">
      <c r="A986" t="s">
        <v>1021</v>
      </c>
      <c r="B986" t="s">
        <v>1171</v>
      </c>
      <c r="C986">
        <v>0</v>
      </c>
      <c r="D986" t="s">
        <v>765</v>
      </c>
      <c r="E986" t="s">
        <v>965</v>
      </c>
      <c r="F986" t="s">
        <v>1032</v>
      </c>
      <c r="H986">
        <v>999.99900000000002</v>
      </c>
      <c r="J986">
        <v>107661907</v>
      </c>
      <c r="K986" s="2">
        <v>45372</v>
      </c>
      <c r="L986">
        <v>31</v>
      </c>
      <c r="M986">
        <v>1</v>
      </c>
      <c r="N986">
        <v>0</v>
      </c>
      <c r="O986">
        <v>1</v>
      </c>
      <c r="P986" t="s">
        <v>7</v>
      </c>
    </row>
    <row r="987" spans="1:19">
      <c r="A987" t="s">
        <v>1021</v>
      </c>
      <c r="B987" t="s">
        <v>965</v>
      </c>
      <c r="C987">
        <v>0</v>
      </c>
      <c r="E987" t="s">
        <v>979</v>
      </c>
      <c r="F987" t="s">
        <v>1054</v>
      </c>
      <c r="G987" t="s">
        <v>961</v>
      </c>
      <c r="H987">
        <v>1.5960000000000001</v>
      </c>
      <c r="J987">
        <v>107719790</v>
      </c>
      <c r="K987" s="2">
        <v>45427</v>
      </c>
      <c r="L987">
        <v>21</v>
      </c>
      <c r="M987">
        <v>2</v>
      </c>
      <c r="N987">
        <v>1</v>
      </c>
      <c r="O987">
        <v>1</v>
      </c>
      <c r="P987" t="s">
        <v>7</v>
      </c>
    </row>
    <row r="988" spans="1:19">
      <c r="A988" t="s">
        <v>1021</v>
      </c>
      <c r="B988" t="s">
        <v>965</v>
      </c>
      <c r="C988">
        <v>0</v>
      </c>
      <c r="E988" t="s">
        <v>979</v>
      </c>
      <c r="F988" t="s">
        <v>1071</v>
      </c>
      <c r="G988" t="s">
        <v>961</v>
      </c>
      <c r="H988">
        <v>1.5960000000000001</v>
      </c>
      <c r="J988">
        <v>107688138</v>
      </c>
      <c r="K988" s="2">
        <v>45397</v>
      </c>
      <c r="L988">
        <v>30</v>
      </c>
      <c r="M988">
        <v>1</v>
      </c>
      <c r="N988">
        <v>7</v>
      </c>
      <c r="O988">
        <v>1</v>
      </c>
      <c r="P988" t="s">
        <v>7</v>
      </c>
    </row>
    <row r="989" spans="1:19">
      <c r="A989" t="s">
        <v>1021</v>
      </c>
      <c r="B989" t="s">
        <v>968</v>
      </c>
      <c r="C989">
        <v>1.4E-2</v>
      </c>
      <c r="D989" t="s">
        <v>757</v>
      </c>
      <c r="E989" t="s">
        <v>964</v>
      </c>
      <c r="F989" t="s">
        <v>965</v>
      </c>
      <c r="G989" t="s">
        <v>968</v>
      </c>
      <c r="H989">
        <v>8.1349999999999998</v>
      </c>
      <c r="J989">
        <v>107637713</v>
      </c>
      <c r="K989" s="2">
        <v>45350</v>
      </c>
      <c r="L989">
        <v>21</v>
      </c>
      <c r="M989">
        <v>1</v>
      </c>
      <c r="N989">
        <v>7</v>
      </c>
      <c r="O989">
        <v>1</v>
      </c>
      <c r="P989" t="s">
        <v>7</v>
      </c>
    </row>
    <row r="990" spans="1:19">
      <c r="A990" t="s">
        <v>1021</v>
      </c>
      <c r="B990" t="s">
        <v>968</v>
      </c>
      <c r="C990">
        <v>0</v>
      </c>
      <c r="E990" t="s">
        <v>965</v>
      </c>
      <c r="F990" t="s">
        <v>977</v>
      </c>
      <c r="G990" t="s">
        <v>968</v>
      </c>
      <c r="H990">
        <v>7.75</v>
      </c>
      <c r="J990">
        <v>107686114</v>
      </c>
      <c r="K990" s="2">
        <v>45396</v>
      </c>
      <c r="L990">
        <v>30</v>
      </c>
      <c r="M990">
        <v>1</v>
      </c>
      <c r="N990">
        <v>7</v>
      </c>
      <c r="O990">
        <v>1</v>
      </c>
      <c r="P990" t="s">
        <v>7</v>
      </c>
    </row>
    <row r="991" spans="1:19">
      <c r="A991" t="s">
        <v>1021</v>
      </c>
      <c r="B991" t="s">
        <v>968</v>
      </c>
      <c r="C991">
        <v>8.0000000000000002E-3</v>
      </c>
      <c r="D991" t="s">
        <v>6</v>
      </c>
      <c r="E991" t="s">
        <v>964</v>
      </c>
      <c r="F991" t="s">
        <v>1072</v>
      </c>
      <c r="G991" t="s">
        <v>968</v>
      </c>
      <c r="H991">
        <v>8.1129999999999995</v>
      </c>
      <c r="J991">
        <v>107637697</v>
      </c>
      <c r="K991" s="2">
        <v>45349</v>
      </c>
      <c r="L991">
        <v>21</v>
      </c>
      <c r="M991">
        <v>2</v>
      </c>
      <c r="N991">
        <v>7</v>
      </c>
      <c r="O991">
        <v>1</v>
      </c>
      <c r="P991" t="s">
        <v>7</v>
      </c>
    </row>
    <row r="992" spans="1:19">
      <c r="A992" t="s">
        <v>1021</v>
      </c>
      <c r="B992" t="s">
        <v>1167</v>
      </c>
      <c r="C992">
        <v>5.0000000000000001E-3</v>
      </c>
      <c r="D992" t="s">
        <v>765</v>
      </c>
      <c r="E992" t="s">
        <v>963</v>
      </c>
      <c r="F992" t="s">
        <v>965</v>
      </c>
      <c r="H992">
        <v>999.99900000000002</v>
      </c>
      <c r="J992">
        <v>107661002</v>
      </c>
      <c r="K992" s="2">
        <v>45371</v>
      </c>
      <c r="L992">
        <v>20</v>
      </c>
      <c r="M992">
        <v>1</v>
      </c>
      <c r="N992">
        <v>0</v>
      </c>
      <c r="O992">
        <v>2</v>
      </c>
    </row>
    <row r="993" spans="1:19">
      <c r="A993" t="s">
        <v>1021</v>
      </c>
      <c r="B993" t="s">
        <v>965</v>
      </c>
      <c r="C993">
        <v>0</v>
      </c>
      <c r="E993" t="s">
        <v>979</v>
      </c>
      <c r="F993" t="s">
        <v>1052</v>
      </c>
      <c r="G993" t="s">
        <v>961</v>
      </c>
      <c r="H993">
        <v>1.5960000000000001</v>
      </c>
      <c r="J993">
        <v>107747986</v>
      </c>
      <c r="K993" s="2">
        <v>45453</v>
      </c>
      <c r="L993">
        <v>30</v>
      </c>
      <c r="M993">
        <v>1</v>
      </c>
      <c r="N993">
        <v>0</v>
      </c>
      <c r="O993">
        <v>1</v>
      </c>
      <c r="P993" t="s">
        <v>7</v>
      </c>
    </row>
    <row r="994" spans="1:19">
      <c r="A994" t="s">
        <v>1021</v>
      </c>
      <c r="B994" t="s">
        <v>965</v>
      </c>
      <c r="C994">
        <v>0.02</v>
      </c>
      <c r="D994" t="s">
        <v>756</v>
      </c>
      <c r="E994" t="s">
        <v>1032</v>
      </c>
      <c r="G994" t="s">
        <v>961</v>
      </c>
      <c r="H994">
        <v>1.863</v>
      </c>
      <c r="J994">
        <v>107802659</v>
      </c>
      <c r="K994" s="2">
        <v>45503</v>
      </c>
      <c r="L994">
        <v>28</v>
      </c>
      <c r="M994">
        <v>1</v>
      </c>
      <c r="N994">
        <v>0</v>
      </c>
      <c r="O994">
        <v>1</v>
      </c>
      <c r="P994" t="s">
        <v>7</v>
      </c>
    </row>
    <row r="995" spans="1:19">
      <c r="A995" t="s">
        <v>1021</v>
      </c>
      <c r="B995" t="s">
        <v>967</v>
      </c>
      <c r="C995">
        <v>0</v>
      </c>
      <c r="E995" t="s">
        <v>965</v>
      </c>
      <c r="G995" t="s">
        <v>960</v>
      </c>
      <c r="H995">
        <v>1.4890000000000001</v>
      </c>
      <c r="J995">
        <v>107802051</v>
      </c>
      <c r="K995" s="2">
        <v>45504</v>
      </c>
      <c r="L995">
        <v>24</v>
      </c>
      <c r="M995">
        <v>1</v>
      </c>
      <c r="N995">
        <v>7</v>
      </c>
      <c r="O995">
        <v>1</v>
      </c>
      <c r="P995" t="s">
        <v>7</v>
      </c>
    </row>
    <row r="996" spans="1:19">
      <c r="A996" t="s">
        <v>1021</v>
      </c>
      <c r="B996" t="s">
        <v>965</v>
      </c>
      <c r="C996">
        <v>7.5999999999999998E-2</v>
      </c>
      <c r="D996" t="s">
        <v>756</v>
      </c>
      <c r="E996" t="s">
        <v>1054</v>
      </c>
      <c r="F996" t="s">
        <v>1032</v>
      </c>
      <c r="G996" t="s">
        <v>961</v>
      </c>
      <c r="H996">
        <v>1.7989999999999999</v>
      </c>
      <c r="J996">
        <v>107756319</v>
      </c>
      <c r="K996" s="2">
        <v>45461</v>
      </c>
      <c r="L996">
        <v>23</v>
      </c>
      <c r="M996">
        <v>1</v>
      </c>
      <c r="N996">
        <v>0</v>
      </c>
      <c r="O996">
        <v>1</v>
      </c>
      <c r="P996" t="s">
        <v>7</v>
      </c>
    </row>
    <row r="997" spans="1:19">
      <c r="A997" t="s">
        <v>1021</v>
      </c>
      <c r="B997" t="s">
        <v>965</v>
      </c>
      <c r="C997">
        <v>0</v>
      </c>
      <c r="E997" t="s">
        <v>967</v>
      </c>
      <c r="F997" t="s">
        <v>968</v>
      </c>
      <c r="G997" t="s">
        <v>961</v>
      </c>
      <c r="H997">
        <v>0.21099999999999999</v>
      </c>
      <c r="J997">
        <v>107805343</v>
      </c>
      <c r="K997" s="2">
        <v>45506</v>
      </c>
      <c r="L997">
        <v>28</v>
      </c>
      <c r="M997">
        <v>1</v>
      </c>
      <c r="N997">
        <v>0</v>
      </c>
      <c r="O997">
        <v>1</v>
      </c>
      <c r="P997" t="s">
        <v>7</v>
      </c>
    </row>
    <row r="998" spans="1:19">
      <c r="A998" t="s">
        <v>1021</v>
      </c>
      <c r="B998" t="s">
        <v>965</v>
      </c>
      <c r="C998">
        <v>0.11</v>
      </c>
      <c r="D998" t="s">
        <v>758</v>
      </c>
      <c r="E998" t="s">
        <v>967</v>
      </c>
      <c r="F998" t="s">
        <v>968</v>
      </c>
      <c r="G998" t="s">
        <v>961</v>
      </c>
      <c r="H998">
        <v>0.10100000000000001</v>
      </c>
      <c r="J998">
        <v>107653473</v>
      </c>
      <c r="K998" s="2">
        <v>45362</v>
      </c>
      <c r="L998">
        <v>30</v>
      </c>
      <c r="M998">
        <v>1</v>
      </c>
      <c r="N998">
        <v>8</v>
      </c>
      <c r="O998">
        <v>1</v>
      </c>
      <c r="P998" t="s">
        <v>7</v>
      </c>
    </row>
    <row r="999" spans="1:19">
      <c r="A999" t="s">
        <v>1021</v>
      </c>
      <c r="B999" t="s">
        <v>965</v>
      </c>
      <c r="C999">
        <v>5.7000000000000002E-2</v>
      </c>
      <c r="D999" t="s">
        <v>764</v>
      </c>
      <c r="E999" t="s">
        <v>968</v>
      </c>
      <c r="F999" t="s">
        <v>967</v>
      </c>
      <c r="G999" t="s">
        <v>962</v>
      </c>
      <c r="H999">
        <v>2.1349999999999998</v>
      </c>
      <c r="J999">
        <v>108546965</v>
      </c>
      <c r="K999" s="2">
        <v>46204</v>
      </c>
      <c r="L999">
        <v>25</v>
      </c>
      <c r="M999">
        <v>1</v>
      </c>
      <c r="N999">
        <v>0</v>
      </c>
      <c r="O999">
        <v>1</v>
      </c>
      <c r="P999" t="s">
        <v>7</v>
      </c>
    </row>
    <row r="1000" spans="1:19">
      <c r="A1000" t="s">
        <v>1021</v>
      </c>
      <c r="B1000" t="s">
        <v>965</v>
      </c>
      <c r="C1000">
        <v>8.9999999999999993E-3</v>
      </c>
      <c r="D1000" t="s">
        <v>758</v>
      </c>
      <c r="E1000" t="s">
        <v>963</v>
      </c>
      <c r="F1000" t="s">
        <v>968</v>
      </c>
      <c r="G1000" t="s">
        <v>961</v>
      </c>
      <c r="H1000">
        <v>0.20200000000000001</v>
      </c>
      <c r="J1000">
        <v>107713399</v>
      </c>
      <c r="K1000" s="2">
        <v>45399</v>
      </c>
      <c r="L1000">
        <v>21</v>
      </c>
      <c r="M1000">
        <v>1</v>
      </c>
      <c r="N1000">
        <v>12</v>
      </c>
      <c r="O1000">
        <v>1</v>
      </c>
      <c r="P1000" t="s">
        <v>7</v>
      </c>
    </row>
    <row r="1001" spans="1:19">
      <c r="A1001" t="s">
        <v>1021</v>
      </c>
      <c r="B1001" t="s">
        <v>965</v>
      </c>
      <c r="C1001">
        <v>0</v>
      </c>
      <c r="D1001" t="s">
        <v>763</v>
      </c>
      <c r="E1001" t="s">
        <v>968</v>
      </c>
      <c r="F1001" t="s">
        <v>1023</v>
      </c>
      <c r="G1001" t="s">
        <v>962</v>
      </c>
      <c r="H1001">
        <v>2.1920000000000002</v>
      </c>
      <c r="J1001">
        <v>107712132</v>
      </c>
      <c r="K1001" s="2">
        <v>45420</v>
      </c>
      <c r="L1001">
        <v>22</v>
      </c>
      <c r="M1001">
        <v>1</v>
      </c>
      <c r="N1001">
        <v>0</v>
      </c>
      <c r="O1001">
        <v>1</v>
      </c>
      <c r="P1001" t="s">
        <v>7</v>
      </c>
    </row>
    <row r="1002" spans="1:19">
      <c r="A1002" t="s">
        <v>1021</v>
      </c>
      <c r="B1002" t="s">
        <v>1150</v>
      </c>
      <c r="C1002">
        <v>8.9999999999999993E-3</v>
      </c>
      <c r="D1002" t="s">
        <v>6</v>
      </c>
      <c r="E1002" t="s">
        <v>965</v>
      </c>
      <c r="F1002" t="s">
        <v>1035</v>
      </c>
      <c r="H1002">
        <v>999.99900000000002</v>
      </c>
      <c r="J1002">
        <v>107847002</v>
      </c>
      <c r="K1002" s="2">
        <v>45546</v>
      </c>
      <c r="L1002">
        <v>20</v>
      </c>
      <c r="M1002">
        <v>1</v>
      </c>
      <c r="N1002">
        <v>0</v>
      </c>
      <c r="O1002">
        <v>1</v>
      </c>
    </row>
    <row r="1003" spans="1:19">
      <c r="A1003" t="s">
        <v>1021</v>
      </c>
      <c r="B1003" t="s">
        <v>965</v>
      </c>
      <c r="C1003">
        <v>0</v>
      </c>
      <c r="E1003" t="s">
        <v>963</v>
      </c>
      <c r="G1003" t="s">
        <v>961</v>
      </c>
      <c r="H1003">
        <v>0.21099999999999999</v>
      </c>
      <c r="J1003">
        <v>107667864</v>
      </c>
      <c r="K1003" s="2">
        <v>45377</v>
      </c>
      <c r="L1003">
        <v>21</v>
      </c>
      <c r="M1003">
        <v>1</v>
      </c>
      <c r="N1003">
        <v>7</v>
      </c>
      <c r="O1003">
        <v>1</v>
      </c>
      <c r="P1003" t="s">
        <v>7</v>
      </c>
    </row>
    <row r="1004" spans="1:19">
      <c r="A1004" t="s">
        <v>754</v>
      </c>
      <c r="B1004" t="s">
        <v>962</v>
      </c>
      <c r="C1004">
        <v>1.2999999999999999E-2</v>
      </c>
      <c r="D1004" t="s">
        <v>756</v>
      </c>
      <c r="E1004" t="s">
        <v>968</v>
      </c>
      <c r="F1004" t="s">
        <v>1104</v>
      </c>
      <c r="G1004" t="s">
        <v>962</v>
      </c>
      <c r="H1004">
        <v>2.1920000000000002</v>
      </c>
      <c r="J1004">
        <v>107649200</v>
      </c>
      <c r="K1004" s="2">
        <v>45358</v>
      </c>
      <c r="L1004">
        <v>21</v>
      </c>
      <c r="M1004">
        <v>2</v>
      </c>
      <c r="N1004">
        <v>0</v>
      </c>
      <c r="O1004">
        <v>1</v>
      </c>
      <c r="P1004" t="s">
        <v>7</v>
      </c>
      <c r="Q1004">
        <v>35.177639999999997</v>
      </c>
      <c r="R1004">
        <v>-79.430779999999999</v>
      </c>
      <c r="S1004" t="s">
        <v>761</v>
      </c>
    </row>
    <row r="1005" spans="1:19">
      <c r="A1005" t="s">
        <v>1021</v>
      </c>
      <c r="B1005" t="s">
        <v>965</v>
      </c>
      <c r="C1005">
        <v>0</v>
      </c>
      <c r="D1005" t="s">
        <v>757</v>
      </c>
      <c r="E1005" t="s">
        <v>1023</v>
      </c>
      <c r="F1005" t="s">
        <v>1039</v>
      </c>
      <c r="G1005" t="s">
        <v>961</v>
      </c>
      <c r="H1005">
        <v>0.66500000000000004</v>
      </c>
      <c r="J1005">
        <v>107861683</v>
      </c>
      <c r="K1005" s="2">
        <v>45560</v>
      </c>
      <c r="L1005">
        <v>30</v>
      </c>
      <c r="M1005">
        <v>1</v>
      </c>
      <c r="N1005">
        <v>0</v>
      </c>
      <c r="O1005">
        <v>1</v>
      </c>
      <c r="P1005" t="s">
        <v>7</v>
      </c>
    </row>
    <row r="1006" spans="1:19">
      <c r="A1006" t="s">
        <v>1021</v>
      </c>
      <c r="B1006" t="s">
        <v>1035</v>
      </c>
      <c r="C1006">
        <v>2E-3</v>
      </c>
      <c r="D1006" t="s">
        <v>763</v>
      </c>
      <c r="E1006" t="s">
        <v>965</v>
      </c>
      <c r="F1006" t="s">
        <v>1033</v>
      </c>
      <c r="G1006" t="s">
        <v>1036</v>
      </c>
      <c r="H1006">
        <v>0.47799999999999998</v>
      </c>
      <c r="J1006">
        <v>107722068</v>
      </c>
      <c r="K1006" s="2">
        <v>45429</v>
      </c>
      <c r="L1006">
        <v>21</v>
      </c>
      <c r="M1006">
        <v>1</v>
      </c>
      <c r="N1006">
        <v>12</v>
      </c>
      <c r="O1006">
        <v>4</v>
      </c>
      <c r="P1006" t="s">
        <v>7</v>
      </c>
    </row>
    <row r="1007" spans="1:19">
      <c r="A1007" t="s">
        <v>1021</v>
      </c>
      <c r="B1007" t="s">
        <v>965</v>
      </c>
      <c r="C1007">
        <v>0</v>
      </c>
      <c r="E1007" t="s">
        <v>968</v>
      </c>
      <c r="F1007" t="s">
        <v>977</v>
      </c>
      <c r="G1007" t="s">
        <v>962</v>
      </c>
      <c r="H1007">
        <v>2.1920000000000002</v>
      </c>
      <c r="J1007">
        <v>107847004</v>
      </c>
      <c r="K1007" s="2">
        <v>45547</v>
      </c>
      <c r="L1007">
        <v>21</v>
      </c>
      <c r="M1007">
        <v>1</v>
      </c>
      <c r="N1007">
        <v>7</v>
      </c>
      <c r="O1007">
        <v>1</v>
      </c>
      <c r="P1007" t="s">
        <v>7</v>
      </c>
    </row>
    <row r="1008" spans="1:19">
      <c r="A1008" t="s">
        <v>1021</v>
      </c>
      <c r="B1008" t="s">
        <v>965</v>
      </c>
      <c r="C1008">
        <v>1.9E-2</v>
      </c>
      <c r="D1008" t="s">
        <v>764</v>
      </c>
      <c r="E1008" t="s">
        <v>968</v>
      </c>
      <c r="F1008" t="s">
        <v>967</v>
      </c>
      <c r="G1008" t="s">
        <v>962</v>
      </c>
      <c r="H1008">
        <v>2.173</v>
      </c>
      <c r="J1008">
        <v>108060397</v>
      </c>
      <c r="K1008" s="2">
        <v>45743</v>
      </c>
      <c r="L1008">
        <v>21</v>
      </c>
      <c r="M1008">
        <v>1</v>
      </c>
      <c r="N1008">
        <v>7</v>
      </c>
      <c r="O1008">
        <v>1</v>
      </c>
      <c r="P1008" t="s">
        <v>7</v>
      </c>
    </row>
    <row r="1009" spans="1:19">
      <c r="A1009" t="s">
        <v>754</v>
      </c>
      <c r="B1009" t="s">
        <v>962</v>
      </c>
      <c r="C1009">
        <v>0.1</v>
      </c>
      <c r="D1009" t="s">
        <v>758</v>
      </c>
      <c r="E1009" t="s">
        <v>968</v>
      </c>
      <c r="F1009" t="s">
        <v>973</v>
      </c>
      <c r="G1009" t="s">
        <v>962</v>
      </c>
      <c r="H1009">
        <v>2.0920000000000001</v>
      </c>
      <c r="J1009">
        <v>107667833</v>
      </c>
      <c r="K1009" s="2">
        <v>45375</v>
      </c>
      <c r="L1009">
        <v>28</v>
      </c>
      <c r="M1009">
        <v>1</v>
      </c>
      <c r="N1009">
        <v>0</v>
      </c>
      <c r="O1009">
        <v>1</v>
      </c>
      <c r="P1009" t="s">
        <v>7</v>
      </c>
      <c r="Q1009">
        <v>35.176699999999997</v>
      </c>
      <c r="R1009">
        <v>-79.440010000000001</v>
      </c>
      <c r="S1009" t="s">
        <v>761</v>
      </c>
    </row>
    <row r="1010" spans="1:19">
      <c r="A1010" t="s">
        <v>1021</v>
      </c>
      <c r="B1010" t="s">
        <v>1172</v>
      </c>
      <c r="C1010">
        <v>2.5000000000000001E-2</v>
      </c>
      <c r="D1010" t="s">
        <v>6</v>
      </c>
      <c r="E1010" t="s">
        <v>965</v>
      </c>
      <c r="F1010" t="s">
        <v>1023</v>
      </c>
      <c r="H1010">
        <v>999.99900000000002</v>
      </c>
      <c r="J1010">
        <v>107852799</v>
      </c>
      <c r="K1010" s="2">
        <v>45551</v>
      </c>
      <c r="L1010">
        <v>31</v>
      </c>
      <c r="M1010">
        <v>2</v>
      </c>
      <c r="N1010">
        <v>4</v>
      </c>
      <c r="O1010">
        <v>1</v>
      </c>
      <c r="P1010" t="s">
        <v>7</v>
      </c>
    </row>
    <row r="1011" spans="1:19">
      <c r="A1011" t="s">
        <v>1021</v>
      </c>
      <c r="B1011" t="s">
        <v>965</v>
      </c>
      <c r="C1011">
        <v>0</v>
      </c>
      <c r="E1011" t="s">
        <v>1022</v>
      </c>
      <c r="F1011" t="s">
        <v>1023</v>
      </c>
      <c r="G1011" t="s">
        <v>961</v>
      </c>
      <c r="H1011">
        <v>0.21099999999999999</v>
      </c>
      <c r="J1011">
        <v>107838267</v>
      </c>
      <c r="K1011" s="2">
        <v>45538</v>
      </c>
      <c r="L1011">
        <v>24</v>
      </c>
      <c r="M1011">
        <v>1</v>
      </c>
      <c r="N1011">
        <v>8</v>
      </c>
      <c r="O1011">
        <v>1</v>
      </c>
      <c r="P1011" t="s">
        <v>7</v>
      </c>
    </row>
    <row r="1012" spans="1:19">
      <c r="A1012" t="s">
        <v>1021</v>
      </c>
      <c r="B1012" t="s">
        <v>965</v>
      </c>
      <c r="C1012">
        <v>1.9E-2</v>
      </c>
      <c r="D1012" t="s">
        <v>762</v>
      </c>
      <c r="E1012" t="s">
        <v>1033</v>
      </c>
      <c r="F1012" t="s">
        <v>1025</v>
      </c>
      <c r="G1012" t="s">
        <v>1036</v>
      </c>
      <c r="H1012">
        <v>0.499</v>
      </c>
      <c r="J1012">
        <v>107852787</v>
      </c>
      <c r="K1012" s="2">
        <v>45551</v>
      </c>
      <c r="L1012">
        <v>21</v>
      </c>
      <c r="M1012">
        <v>2</v>
      </c>
      <c r="N1012">
        <v>12</v>
      </c>
      <c r="O1012">
        <v>1</v>
      </c>
      <c r="P1012" t="s">
        <v>7</v>
      </c>
    </row>
    <row r="1013" spans="1:19">
      <c r="A1013" t="s">
        <v>1021</v>
      </c>
      <c r="B1013" t="s">
        <v>965</v>
      </c>
      <c r="C1013">
        <v>0.01</v>
      </c>
      <c r="D1013" t="s">
        <v>756</v>
      </c>
      <c r="E1013" t="s">
        <v>1052</v>
      </c>
      <c r="F1013" t="s">
        <v>1032</v>
      </c>
      <c r="G1013" t="s">
        <v>961</v>
      </c>
      <c r="H1013">
        <v>1.4410000000000001</v>
      </c>
      <c r="J1013">
        <v>107898047</v>
      </c>
      <c r="K1013" s="2">
        <v>45590</v>
      </c>
      <c r="L1013">
        <v>30</v>
      </c>
      <c r="M1013">
        <v>1</v>
      </c>
      <c r="N1013">
        <v>0</v>
      </c>
      <c r="O1013">
        <v>1</v>
      </c>
      <c r="P1013" t="s">
        <v>3</v>
      </c>
    </row>
    <row r="1014" spans="1:19">
      <c r="A1014" t="s">
        <v>1021</v>
      </c>
      <c r="B1014" t="s">
        <v>965</v>
      </c>
      <c r="C1014">
        <v>0</v>
      </c>
      <c r="E1014" t="s">
        <v>968</v>
      </c>
      <c r="F1014" t="s">
        <v>967</v>
      </c>
      <c r="G1014" t="s">
        <v>962</v>
      </c>
      <c r="H1014">
        <v>2.1920000000000002</v>
      </c>
      <c r="J1014">
        <v>107935083</v>
      </c>
      <c r="K1014" s="2">
        <v>45615</v>
      </c>
      <c r="L1014">
        <v>21</v>
      </c>
      <c r="M1014">
        <v>1</v>
      </c>
      <c r="N1014">
        <v>0</v>
      </c>
      <c r="O1014">
        <v>4</v>
      </c>
      <c r="P1014" t="s">
        <v>7</v>
      </c>
    </row>
    <row r="1015" spans="1:19">
      <c r="A1015" t="s">
        <v>1021</v>
      </c>
      <c r="B1015" t="s">
        <v>965</v>
      </c>
      <c r="C1015">
        <v>0</v>
      </c>
      <c r="E1015" t="s">
        <v>1023</v>
      </c>
      <c r="G1015" t="s">
        <v>961</v>
      </c>
      <c r="H1015">
        <v>0.66500000000000004</v>
      </c>
      <c r="J1015">
        <v>107729885</v>
      </c>
      <c r="K1015" s="2">
        <v>45426</v>
      </c>
      <c r="L1015">
        <v>26</v>
      </c>
      <c r="M1015">
        <v>2</v>
      </c>
      <c r="N1015">
        <v>7</v>
      </c>
      <c r="O1015">
        <v>1</v>
      </c>
      <c r="P1015" t="s">
        <v>7</v>
      </c>
    </row>
    <row r="1016" spans="1:19">
      <c r="A1016" t="s">
        <v>1021</v>
      </c>
      <c r="B1016" t="s">
        <v>979</v>
      </c>
      <c r="C1016">
        <v>2.5999999999999999E-2</v>
      </c>
      <c r="D1016" t="s">
        <v>763</v>
      </c>
      <c r="E1016" t="s">
        <v>965</v>
      </c>
      <c r="F1016" t="s">
        <v>1092</v>
      </c>
      <c r="G1016" t="s">
        <v>979</v>
      </c>
      <c r="H1016">
        <v>9.6370000000000005</v>
      </c>
      <c r="J1016">
        <v>107906101</v>
      </c>
      <c r="K1016" s="2">
        <v>45598</v>
      </c>
      <c r="L1016">
        <v>17</v>
      </c>
      <c r="M1016">
        <v>1</v>
      </c>
      <c r="N1016">
        <v>0</v>
      </c>
      <c r="O1016">
        <v>1</v>
      </c>
      <c r="P1016" t="s">
        <v>7</v>
      </c>
    </row>
    <row r="1017" spans="1:19">
      <c r="A1017" t="s">
        <v>1021</v>
      </c>
      <c r="B1017" t="s">
        <v>968</v>
      </c>
      <c r="C1017">
        <v>0</v>
      </c>
      <c r="D1017" t="s">
        <v>765</v>
      </c>
      <c r="E1017" t="s">
        <v>965</v>
      </c>
      <c r="F1017" t="s">
        <v>1072</v>
      </c>
      <c r="G1017" t="s">
        <v>968</v>
      </c>
      <c r="H1017">
        <v>7.75</v>
      </c>
      <c r="J1017">
        <v>107724706</v>
      </c>
      <c r="K1017" s="2">
        <v>45428</v>
      </c>
      <c r="L1017">
        <v>21</v>
      </c>
      <c r="M1017">
        <v>1</v>
      </c>
      <c r="N1017">
        <v>0</v>
      </c>
      <c r="O1017">
        <v>2</v>
      </c>
      <c r="P1017" t="s">
        <v>7</v>
      </c>
    </row>
    <row r="1018" spans="1:19">
      <c r="A1018" t="s">
        <v>1021</v>
      </c>
      <c r="B1018" t="s">
        <v>965</v>
      </c>
      <c r="C1018">
        <v>0</v>
      </c>
      <c r="E1018" t="s">
        <v>979</v>
      </c>
      <c r="F1018" t="s">
        <v>1052</v>
      </c>
      <c r="G1018" t="s">
        <v>961</v>
      </c>
      <c r="H1018">
        <v>1.5960000000000001</v>
      </c>
      <c r="J1018">
        <v>107866086</v>
      </c>
      <c r="K1018" s="2">
        <v>45565</v>
      </c>
      <c r="L1018">
        <v>30</v>
      </c>
      <c r="M1018">
        <v>1</v>
      </c>
      <c r="N1018">
        <v>8</v>
      </c>
      <c r="O1018">
        <v>1</v>
      </c>
      <c r="P1018" t="s">
        <v>7</v>
      </c>
    </row>
    <row r="1019" spans="1:19">
      <c r="A1019" t="s">
        <v>1021</v>
      </c>
      <c r="B1019" t="s">
        <v>1026</v>
      </c>
      <c r="C1019">
        <v>0</v>
      </c>
      <c r="E1019" t="s">
        <v>965</v>
      </c>
      <c r="F1019" t="s">
        <v>1055</v>
      </c>
      <c r="G1019" t="s">
        <v>1036</v>
      </c>
      <c r="H1019">
        <v>0.64300000000000002</v>
      </c>
      <c r="J1019">
        <v>108226397</v>
      </c>
      <c r="K1019" s="2">
        <v>45911</v>
      </c>
      <c r="L1019">
        <v>30</v>
      </c>
      <c r="M1019">
        <v>1</v>
      </c>
      <c r="N1019">
        <v>9</v>
      </c>
      <c r="O1019">
        <v>4</v>
      </c>
      <c r="P1019" t="s">
        <v>7</v>
      </c>
    </row>
    <row r="1020" spans="1:19">
      <c r="A1020" t="s">
        <v>1021</v>
      </c>
      <c r="B1020" t="s">
        <v>968</v>
      </c>
      <c r="C1020">
        <v>0</v>
      </c>
      <c r="E1020" t="s">
        <v>965</v>
      </c>
      <c r="F1020" t="s">
        <v>1072</v>
      </c>
      <c r="G1020" t="s">
        <v>968</v>
      </c>
      <c r="H1020">
        <v>7.75</v>
      </c>
      <c r="J1020">
        <v>107965406</v>
      </c>
      <c r="K1020" s="2">
        <v>45646</v>
      </c>
      <c r="L1020">
        <v>23</v>
      </c>
      <c r="M1020">
        <v>2</v>
      </c>
      <c r="N1020">
        <v>7</v>
      </c>
      <c r="O1020">
        <v>5</v>
      </c>
      <c r="P1020" t="s">
        <v>7</v>
      </c>
    </row>
    <row r="1021" spans="1:19">
      <c r="A1021" t="s">
        <v>1021</v>
      </c>
      <c r="B1021" t="s">
        <v>965</v>
      </c>
      <c r="C1021">
        <v>5.7000000000000002E-2</v>
      </c>
      <c r="D1021" t="s">
        <v>764</v>
      </c>
      <c r="E1021" t="s">
        <v>968</v>
      </c>
      <c r="F1021" t="s">
        <v>967</v>
      </c>
      <c r="G1021" t="s">
        <v>962</v>
      </c>
      <c r="H1021">
        <v>2.1349999999999998</v>
      </c>
      <c r="J1021">
        <v>107946257</v>
      </c>
      <c r="K1021" s="2">
        <v>45631</v>
      </c>
      <c r="L1021">
        <v>21</v>
      </c>
      <c r="M1021">
        <v>1</v>
      </c>
      <c r="N1021">
        <v>7</v>
      </c>
      <c r="O1021">
        <v>4</v>
      </c>
      <c r="P1021" t="s">
        <v>3</v>
      </c>
    </row>
    <row r="1022" spans="1:19">
      <c r="A1022" t="s">
        <v>1021</v>
      </c>
      <c r="B1022" t="s">
        <v>965</v>
      </c>
      <c r="C1022">
        <v>0</v>
      </c>
      <c r="E1022" t="s">
        <v>1056</v>
      </c>
      <c r="F1022" t="s">
        <v>1064</v>
      </c>
      <c r="G1022" t="s">
        <v>961</v>
      </c>
      <c r="H1022">
        <v>1.2769999999999999</v>
      </c>
      <c r="J1022">
        <v>107966811</v>
      </c>
      <c r="K1022" s="2">
        <v>45648</v>
      </c>
      <c r="L1022">
        <v>30</v>
      </c>
      <c r="M1022">
        <v>1</v>
      </c>
      <c r="N1022">
        <v>12</v>
      </c>
      <c r="O1022">
        <v>1</v>
      </c>
      <c r="P1022" t="s">
        <v>7</v>
      </c>
    </row>
    <row r="1023" spans="1:19">
      <c r="A1023" t="s">
        <v>1021</v>
      </c>
      <c r="B1023" t="s">
        <v>968</v>
      </c>
      <c r="C1023">
        <v>0.02</v>
      </c>
      <c r="D1023" t="s">
        <v>6</v>
      </c>
      <c r="E1023" t="s">
        <v>965</v>
      </c>
      <c r="F1023" t="s">
        <v>963</v>
      </c>
      <c r="G1023" t="s">
        <v>968</v>
      </c>
      <c r="H1023">
        <v>7.73</v>
      </c>
      <c r="J1023">
        <v>107956108</v>
      </c>
      <c r="K1023" s="2">
        <v>45637</v>
      </c>
      <c r="L1023">
        <v>21</v>
      </c>
      <c r="M1023">
        <v>1</v>
      </c>
      <c r="N1023">
        <v>0</v>
      </c>
      <c r="O1023">
        <v>6</v>
      </c>
      <c r="P1023" t="s">
        <v>7</v>
      </c>
    </row>
    <row r="1024" spans="1:19">
      <c r="A1024" t="s">
        <v>1021</v>
      </c>
      <c r="B1024" t="s">
        <v>1173</v>
      </c>
      <c r="C1024">
        <v>0</v>
      </c>
      <c r="D1024" t="s">
        <v>6</v>
      </c>
      <c r="E1024" t="s">
        <v>965</v>
      </c>
      <c r="F1024" t="s">
        <v>1037</v>
      </c>
      <c r="H1024">
        <v>999.99900000000002</v>
      </c>
      <c r="J1024">
        <v>107830283</v>
      </c>
      <c r="K1024" s="2">
        <v>45531</v>
      </c>
      <c r="L1024">
        <v>31</v>
      </c>
      <c r="M1024">
        <v>1</v>
      </c>
      <c r="N1024">
        <v>0</v>
      </c>
      <c r="O1024">
        <v>1</v>
      </c>
      <c r="P1024" t="s">
        <v>7</v>
      </c>
    </row>
    <row r="1025" spans="1:19">
      <c r="A1025" t="s">
        <v>1021</v>
      </c>
      <c r="B1025" t="s">
        <v>1174</v>
      </c>
      <c r="C1025">
        <v>0</v>
      </c>
      <c r="E1025" t="s">
        <v>965</v>
      </c>
      <c r="F1025" t="s">
        <v>1175</v>
      </c>
      <c r="H1025">
        <v>999.99900000000002</v>
      </c>
      <c r="J1025">
        <v>107835020</v>
      </c>
      <c r="K1025" s="2">
        <v>45535</v>
      </c>
      <c r="L1025">
        <v>28</v>
      </c>
      <c r="M1025">
        <v>1</v>
      </c>
      <c r="N1025">
        <v>9</v>
      </c>
      <c r="O1025">
        <v>1</v>
      </c>
      <c r="P1025" t="s">
        <v>7</v>
      </c>
    </row>
    <row r="1026" spans="1:19">
      <c r="A1026" t="s">
        <v>1021</v>
      </c>
      <c r="B1026" t="s">
        <v>965</v>
      </c>
      <c r="C1026">
        <v>8.0000000000000002E-3</v>
      </c>
      <c r="D1026" t="s">
        <v>756</v>
      </c>
      <c r="E1026" t="s">
        <v>968</v>
      </c>
      <c r="F1026" t="s">
        <v>963</v>
      </c>
      <c r="G1026" t="s">
        <v>961</v>
      </c>
      <c r="H1026">
        <v>8.0000000000000002E-3</v>
      </c>
      <c r="J1026">
        <v>107951962</v>
      </c>
      <c r="K1026" s="2">
        <v>45636</v>
      </c>
      <c r="L1026">
        <v>28</v>
      </c>
      <c r="M1026">
        <v>2</v>
      </c>
      <c r="N1026">
        <v>7</v>
      </c>
      <c r="O1026">
        <v>1</v>
      </c>
      <c r="P1026" t="s">
        <v>7</v>
      </c>
    </row>
    <row r="1027" spans="1:19">
      <c r="A1027" t="s">
        <v>1021</v>
      </c>
      <c r="B1027" t="s">
        <v>967</v>
      </c>
      <c r="C1027">
        <v>0</v>
      </c>
      <c r="E1027" t="s">
        <v>1029</v>
      </c>
      <c r="F1027" t="s">
        <v>1176</v>
      </c>
      <c r="G1027" t="s">
        <v>960</v>
      </c>
      <c r="H1027">
        <v>0.91100000000000003</v>
      </c>
      <c r="J1027">
        <v>107830904</v>
      </c>
      <c r="K1027" s="2">
        <v>45531</v>
      </c>
      <c r="L1027">
        <v>24</v>
      </c>
      <c r="M1027">
        <v>1</v>
      </c>
      <c r="N1027">
        <v>8</v>
      </c>
      <c r="O1027">
        <v>1</v>
      </c>
      <c r="P1027" t="s">
        <v>7</v>
      </c>
    </row>
    <row r="1028" spans="1:19">
      <c r="A1028" t="s">
        <v>1021</v>
      </c>
      <c r="B1028" t="s">
        <v>966</v>
      </c>
      <c r="C1028">
        <v>4.4999999999999998E-2</v>
      </c>
      <c r="D1028" t="s">
        <v>6</v>
      </c>
      <c r="E1028" t="s">
        <v>1177</v>
      </c>
      <c r="F1028" t="s">
        <v>1102</v>
      </c>
      <c r="H1028">
        <v>999.99900000000002</v>
      </c>
      <c r="J1028">
        <v>107994044</v>
      </c>
      <c r="K1028" s="2">
        <v>45675</v>
      </c>
      <c r="L1028">
        <v>1</v>
      </c>
      <c r="M1028">
        <v>1</v>
      </c>
      <c r="N1028">
        <v>0</v>
      </c>
      <c r="O1028">
        <v>5</v>
      </c>
      <c r="P1028" t="s">
        <v>8</v>
      </c>
    </row>
    <row r="1029" spans="1:19">
      <c r="A1029" t="s">
        <v>1021</v>
      </c>
      <c r="B1029" t="s">
        <v>968</v>
      </c>
      <c r="C1029">
        <v>0</v>
      </c>
      <c r="E1029" t="s">
        <v>965</v>
      </c>
      <c r="F1029" t="s">
        <v>1178</v>
      </c>
      <c r="G1029" t="s">
        <v>968</v>
      </c>
      <c r="H1029">
        <v>7.75</v>
      </c>
      <c r="J1029">
        <v>107922335</v>
      </c>
      <c r="K1029" s="2">
        <v>45610</v>
      </c>
      <c r="L1029">
        <v>17</v>
      </c>
      <c r="M1029">
        <v>1</v>
      </c>
      <c r="N1029">
        <v>0</v>
      </c>
      <c r="O1029">
        <v>6</v>
      </c>
      <c r="P1029" t="s">
        <v>7</v>
      </c>
    </row>
    <row r="1030" spans="1:19">
      <c r="A1030" t="s">
        <v>1021</v>
      </c>
      <c r="B1030" t="s">
        <v>965</v>
      </c>
      <c r="C1030">
        <v>0</v>
      </c>
      <c r="D1030" t="s">
        <v>765</v>
      </c>
      <c r="E1030" t="s">
        <v>1052</v>
      </c>
      <c r="F1030" t="s">
        <v>1056</v>
      </c>
      <c r="G1030" t="s">
        <v>961</v>
      </c>
      <c r="H1030">
        <v>1.431</v>
      </c>
      <c r="J1030">
        <v>108013481</v>
      </c>
      <c r="K1030" s="2">
        <v>45695</v>
      </c>
      <c r="L1030">
        <v>14</v>
      </c>
      <c r="M1030">
        <v>1</v>
      </c>
      <c r="N1030">
        <v>8</v>
      </c>
      <c r="O1030">
        <v>1</v>
      </c>
      <c r="P1030" t="s">
        <v>7</v>
      </c>
      <c r="Q1030">
        <v>35.171214999999997</v>
      </c>
      <c r="R1030">
        <v>-79.408479999999997</v>
      </c>
      <c r="S1030" t="s">
        <v>1060</v>
      </c>
    </row>
    <row r="1031" spans="1:19">
      <c r="A1031" t="s">
        <v>1021</v>
      </c>
      <c r="B1031" t="s">
        <v>968</v>
      </c>
      <c r="C1031">
        <v>0</v>
      </c>
      <c r="D1031" t="s">
        <v>762</v>
      </c>
      <c r="E1031" t="s">
        <v>965</v>
      </c>
      <c r="F1031" t="s">
        <v>1037</v>
      </c>
      <c r="G1031" t="s">
        <v>968</v>
      </c>
      <c r="H1031">
        <v>7.75</v>
      </c>
      <c r="J1031">
        <v>107745020</v>
      </c>
      <c r="K1031" s="2">
        <v>45450</v>
      </c>
      <c r="L1031">
        <v>28</v>
      </c>
      <c r="M1031">
        <v>1</v>
      </c>
      <c r="N1031">
        <v>0</v>
      </c>
      <c r="O1031">
        <v>1</v>
      </c>
      <c r="P1031" t="s">
        <v>7</v>
      </c>
    </row>
    <row r="1032" spans="1:19">
      <c r="A1032" t="s">
        <v>1021</v>
      </c>
      <c r="B1032" t="s">
        <v>965</v>
      </c>
      <c r="C1032">
        <v>0</v>
      </c>
      <c r="D1032" t="s">
        <v>756</v>
      </c>
      <c r="E1032" t="s">
        <v>1179</v>
      </c>
      <c r="F1032" t="s">
        <v>1056</v>
      </c>
      <c r="H1032">
        <v>999.99900000000002</v>
      </c>
      <c r="J1032">
        <v>107745023</v>
      </c>
      <c r="K1032" s="2">
        <v>45451</v>
      </c>
      <c r="L1032">
        <v>21</v>
      </c>
      <c r="M1032">
        <v>1</v>
      </c>
      <c r="N1032">
        <v>0</v>
      </c>
      <c r="O1032">
        <v>1</v>
      </c>
      <c r="P1032" t="s">
        <v>7</v>
      </c>
    </row>
    <row r="1033" spans="1:19">
      <c r="A1033" t="s">
        <v>1021</v>
      </c>
      <c r="B1033" t="s">
        <v>1023</v>
      </c>
      <c r="C1033">
        <v>0</v>
      </c>
      <c r="D1033" t="s">
        <v>6</v>
      </c>
      <c r="E1033" t="s">
        <v>965</v>
      </c>
      <c r="F1033" t="s">
        <v>1037</v>
      </c>
      <c r="G1033" t="s">
        <v>961</v>
      </c>
      <c r="H1033">
        <v>0.66500000000000004</v>
      </c>
      <c r="J1033">
        <v>107993612</v>
      </c>
      <c r="K1033" s="2">
        <v>45674</v>
      </c>
      <c r="L1033">
        <v>30</v>
      </c>
      <c r="M1033">
        <v>1</v>
      </c>
      <c r="N1033">
        <v>0</v>
      </c>
      <c r="O1033">
        <v>1</v>
      </c>
      <c r="P1033" t="s">
        <v>7</v>
      </c>
    </row>
    <row r="1034" spans="1:19">
      <c r="A1034" t="s">
        <v>1021</v>
      </c>
      <c r="B1034" t="s">
        <v>1168</v>
      </c>
      <c r="C1034">
        <v>2E-3</v>
      </c>
      <c r="D1034" t="s">
        <v>757</v>
      </c>
      <c r="E1034" t="s">
        <v>963</v>
      </c>
      <c r="H1034">
        <v>999.99900000000002</v>
      </c>
      <c r="J1034">
        <v>108012761</v>
      </c>
      <c r="K1034" s="2">
        <v>45693</v>
      </c>
      <c r="L1034">
        <v>20</v>
      </c>
      <c r="M1034">
        <v>1</v>
      </c>
      <c r="N1034">
        <v>0</v>
      </c>
      <c r="O1034">
        <v>1</v>
      </c>
      <c r="P1034" t="s">
        <v>7</v>
      </c>
    </row>
    <row r="1035" spans="1:19">
      <c r="A1035" t="s">
        <v>1021</v>
      </c>
      <c r="B1035" t="s">
        <v>968</v>
      </c>
      <c r="C1035">
        <v>0</v>
      </c>
      <c r="E1035" t="s">
        <v>965</v>
      </c>
      <c r="F1035" t="s">
        <v>963</v>
      </c>
      <c r="G1035" t="s">
        <v>968</v>
      </c>
      <c r="H1035">
        <v>7.75</v>
      </c>
      <c r="J1035">
        <v>107993614</v>
      </c>
      <c r="K1035" s="2">
        <v>45674</v>
      </c>
      <c r="L1035">
        <v>28</v>
      </c>
      <c r="M1035">
        <v>1</v>
      </c>
      <c r="N1035">
        <v>7</v>
      </c>
      <c r="O1035">
        <v>1</v>
      </c>
      <c r="P1035" t="s">
        <v>7</v>
      </c>
    </row>
    <row r="1036" spans="1:19">
      <c r="A1036" t="s">
        <v>1021</v>
      </c>
      <c r="B1036" t="s">
        <v>966</v>
      </c>
      <c r="C1036">
        <v>0.1</v>
      </c>
      <c r="D1036" t="s">
        <v>756</v>
      </c>
      <c r="E1036" t="s">
        <v>1028</v>
      </c>
      <c r="F1036" t="s">
        <v>1102</v>
      </c>
      <c r="H1036">
        <v>999.99900000000002</v>
      </c>
      <c r="J1036">
        <v>107985552</v>
      </c>
      <c r="K1036" s="2">
        <v>45667</v>
      </c>
      <c r="L1036">
        <v>2</v>
      </c>
      <c r="M1036">
        <v>6</v>
      </c>
      <c r="N1036">
        <v>0</v>
      </c>
      <c r="O1036">
        <v>5</v>
      </c>
      <c r="P1036" t="s">
        <v>7</v>
      </c>
    </row>
    <row r="1037" spans="1:19">
      <c r="A1037" t="s">
        <v>1021</v>
      </c>
      <c r="B1037" t="s">
        <v>965</v>
      </c>
      <c r="C1037">
        <v>0</v>
      </c>
      <c r="E1037" t="s">
        <v>1023</v>
      </c>
      <c r="F1037" t="s">
        <v>1037</v>
      </c>
      <c r="G1037" t="s">
        <v>961</v>
      </c>
      <c r="H1037">
        <v>0.66500000000000004</v>
      </c>
      <c r="J1037">
        <v>108009366</v>
      </c>
      <c r="K1037" s="2">
        <v>45689</v>
      </c>
      <c r="L1037">
        <v>28</v>
      </c>
      <c r="M1037">
        <v>1</v>
      </c>
      <c r="N1037">
        <v>7</v>
      </c>
      <c r="O1037">
        <v>1</v>
      </c>
      <c r="P1037" t="s">
        <v>7</v>
      </c>
    </row>
    <row r="1038" spans="1:19">
      <c r="A1038" t="s">
        <v>1021</v>
      </c>
      <c r="B1038" t="s">
        <v>965</v>
      </c>
      <c r="C1038">
        <v>0</v>
      </c>
      <c r="E1038" t="s">
        <v>968</v>
      </c>
      <c r="F1038" t="s">
        <v>963</v>
      </c>
      <c r="G1038" t="s">
        <v>962</v>
      </c>
      <c r="H1038">
        <v>2.1920000000000002</v>
      </c>
      <c r="J1038">
        <v>108009769</v>
      </c>
      <c r="K1038" s="2">
        <v>45692</v>
      </c>
      <c r="L1038">
        <v>21</v>
      </c>
      <c r="M1038">
        <v>1</v>
      </c>
      <c r="N1038">
        <v>7</v>
      </c>
      <c r="O1038">
        <v>1</v>
      </c>
      <c r="P1038" t="s">
        <v>7</v>
      </c>
    </row>
    <row r="1039" spans="1:19">
      <c r="A1039" t="s">
        <v>754</v>
      </c>
      <c r="B1039" t="s">
        <v>962</v>
      </c>
      <c r="C1039">
        <v>0.2</v>
      </c>
      <c r="D1039" t="s">
        <v>758</v>
      </c>
      <c r="E1039" t="s">
        <v>968</v>
      </c>
      <c r="F1039" t="s">
        <v>975</v>
      </c>
      <c r="G1039" t="s">
        <v>962</v>
      </c>
      <c r="H1039">
        <v>1.992</v>
      </c>
      <c r="J1039">
        <v>107985825</v>
      </c>
      <c r="K1039" s="2">
        <v>45665</v>
      </c>
      <c r="L1039">
        <v>21</v>
      </c>
      <c r="M1039">
        <v>1</v>
      </c>
      <c r="N1039">
        <v>0</v>
      </c>
      <c r="O1039">
        <v>1</v>
      </c>
      <c r="P1039" t="s">
        <v>7</v>
      </c>
      <c r="Q1039">
        <v>35.176903000000003</v>
      </c>
      <c r="R1039">
        <v>-79.434989999999999</v>
      </c>
      <c r="S1039" t="s">
        <v>761</v>
      </c>
    </row>
    <row r="1040" spans="1:19">
      <c r="A1040" t="s">
        <v>1021</v>
      </c>
      <c r="B1040" t="s">
        <v>1180</v>
      </c>
      <c r="C1040">
        <v>1.2999999999999999E-2</v>
      </c>
      <c r="D1040" t="s">
        <v>6</v>
      </c>
      <c r="E1040" t="s">
        <v>965</v>
      </c>
      <c r="F1040" t="s">
        <v>1032</v>
      </c>
      <c r="H1040">
        <v>999.99900000000002</v>
      </c>
      <c r="J1040">
        <v>107994867</v>
      </c>
      <c r="K1040" s="2">
        <v>45675</v>
      </c>
      <c r="L1040">
        <v>20</v>
      </c>
      <c r="M1040">
        <v>1</v>
      </c>
      <c r="N1040">
        <v>0</v>
      </c>
      <c r="O1040">
        <v>1</v>
      </c>
      <c r="P1040" t="s">
        <v>7</v>
      </c>
    </row>
    <row r="1041" spans="1:16">
      <c r="A1041" t="s">
        <v>1021</v>
      </c>
      <c r="B1041" t="s">
        <v>979</v>
      </c>
      <c r="C1041">
        <v>6.0000000000000001E-3</v>
      </c>
      <c r="D1041" t="s">
        <v>764</v>
      </c>
      <c r="E1041" t="s">
        <v>965</v>
      </c>
      <c r="F1041" t="s">
        <v>1071</v>
      </c>
      <c r="G1041" t="s">
        <v>979</v>
      </c>
      <c r="H1041">
        <v>9.6690000000000005</v>
      </c>
      <c r="J1041">
        <v>107997154</v>
      </c>
      <c r="K1041" s="2">
        <v>45679</v>
      </c>
      <c r="L1041">
        <v>19</v>
      </c>
      <c r="M1041">
        <v>4</v>
      </c>
      <c r="N1041">
        <v>19</v>
      </c>
      <c r="O1041">
        <v>1</v>
      </c>
      <c r="P1041" t="s">
        <v>7</v>
      </c>
    </row>
    <row r="1042" spans="1:16">
      <c r="A1042" t="s">
        <v>1021</v>
      </c>
      <c r="B1042" t="s">
        <v>1080</v>
      </c>
      <c r="C1042">
        <v>0</v>
      </c>
      <c r="D1042" t="s">
        <v>762</v>
      </c>
      <c r="E1042" t="s">
        <v>965</v>
      </c>
      <c r="F1042" t="s">
        <v>963</v>
      </c>
      <c r="G1042" t="s">
        <v>968</v>
      </c>
      <c r="H1042">
        <v>7.75</v>
      </c>
      <c r="J1042">
        <v>107922311</v>
      </c>
      <c r="K1042" s="2">
        <v>45612</v>
      </c>
      <c r="L1042">
        <v>28</v>
      </c>
      <c r="M1042">
        <v>1</v>
      </c>
      <c r="N1042">
        <v>0</v>
      </c>
      <c r="O1042">
        <v>1</v>
      </c>
      <c r="P1042" t="s">
        <v>7</v>
      </c>
    </row>
    <row r="1043" spans="1:16">
      <c r="A1043" t="s">
        <v>1021</v>
      </c>
      <c r="B1043" t="s">
        <v>967</v>
      </c>
      <c r="C1043">
        <v>1E-3</v>
      </c>
      <c r="D1043" t="s">
        <v>757</v>
      </c>
      <c r="E1043" t="s">
        <v>965</v>
      </c>
      <c r="F1043" t="s">
        <v>1018</v>
      </c>
      <c r="G1043" t="s">
        <v>960</v>
      </c>
      <c r="H1043">
        <v>1.488</v>
      </c>
      <c r="J1043">
        <v>107986965</v>
      </c>
      <c r="K1043" s="2">
        <v>45664</v>
      </c>
      <c r="L1043">
        <v>21</v>
      </c>
      <c r="M1043">
        <v>1</v>
      </c>
      <c r="N1043">
        <v>7</v>
      </c>
      <c r="O1043">
        <v>4</v>
      </c>
      <c r="P1043" t="s">
        <v>7</v>
      </c>
    </row>
    <row r="1044" spans="1:16">
      <c r="A1044" t="s">
        <v>1021</v>
      </c>
      <c r="B1044" t="s">
        <v>968</v>
      </c>
      <c r="C1044">
        <v>1.2999999999999999E-2</v>
      </c>
      <c r="D1044" t="s">
        <v>765</v>
      </c>
      <c r="E1044" t="s">
        <v>965</v>
      </c>
      <c r="F1044" t="s">
        <v>1072</v>
      </c>
      <c r="G1044" t="s">
        <v>968</v>
      </c>
      <c r="H1044">
        <v>7.7629999999999999</v>
      </c>
      <c r="J1044">
        <v>107925112</v>
      </c>
      <c r="K1044" s="2">
        <v>45614</v>
      </c>
      <c r="L1044">
        <v>28</v>
      </c>
      <c r="M1044">
        <v>1</v>
      </c>
      <c r="N1044">
        <v>7</v>
      </c>
      <c r="O1044">
        <v>1</v>
      </c>
      <c r="P1044" t="s">
        <v>7</v>
      </c>
    </row>
    <row r="1045" spans="1:16">
      <c r="A1045" t="s">
        <v>1021</v>
      </c>
      <c r="B1045" t="s">
        <v>1173</v>
      </c>
      <c r="C1045">
        <v>8.9999999999999993E-3</v>
      </c>
      <c r="D1045" t="s">
        <v>6</v>
      </c>
      <c r="E1045" t="s">
        <v>965</v>
      </c>
      <c r="F1045" t="s">
        <v>1037</v>
      </c>
      <c r="H1045">
        <v>999.99900000000002</v>
      </c>
      <c r="J1045">
        <v>107920548</v>
      </c>
      <c r="K1045" s="2">
        <v>45609</v>
      </c>
      <c r="L1045">
        <v>31</v>
      </c>
      <c r="M1045">
        <v>1</v>
      </c>
      <c r="N1045">
        <v>0</v>
      </c>
      <c r="O1045">
        <v>1</v>
      </c>
      <c r="P1045" t="s">
        <v>7</v>
      </c>
    </row>
    <row r="1046" spans="1:16">
      <c r="A1046" t="s">
        <v>1021</v>
      </c>
      <c r="B1046" t="s">
        <v>1181</v>
      </c>
      <c r="C1046">
        <v>2.8000000000000001E-2</v>
      </c>
      <c r="D1046" t="s">
        <v>6</v>
      </c>
      <c r="E1046" t="s">
        <v>965</v>
      </c>
      <c r="F1046" t="s">
        <v>1037</v>
      </c>
      <c r="H1046">
        <v>999.99900000000002</v>
      </c>
      <c r="J1046">
        <v>107927944</v>
      </c>
      <c r="K1046" s="2">
        <v>45616</v>
      </c>
      <c r="L1046">
        <v>28</v>
      </c>
      <c r="M1046">
        <v>2</v>
      </c>
      <c r="N1046">
        <v>4</v>
      </c>
      <c r="O1046">
        <v>1</v>
      </c>
      <c r="P1046" t="s">
        <v>7</v>
      </c>
    </row>
    <row r="1047" spans="1:16">
      <c r="A1047" t="s">
        <v>1021</v>
      </c>
      <c r="B1047" t="s">
        <v>964</v>
      </c>
      <c r="C1047">
        <v>0.25</v>
      </c>
      <c r="D1047" t="s">
        <v>756</v>
      </c>
      <c r="E1047" t="s">
        <v>968</v>
      </c>
      <c r="F1047" t="s">
        <v>966</v>
      </c>
      <c r="G1047" t="s">
        <v>960</v>
      </c>
      <c r="H1047">
        <v>0.25</v>
      </c>
      <c r="J1047">
        <v>107845682</v>
      </c>
      <c r="K1047" s="2">
        <v>45546</v>
      </c>
      <c r="L1047">
        <v>28</v>
      </c>
      <c r="M1047">
        <v>1</v>
      </c>
      <c r="N1047">
        <v>0</v>
      </c>
      <c r="O1047">
        <v>1</v>
      </c>
      <c r="P1047" t="s">
        <v>7</v>
      </c>
    </row>
    <row r="1048" spans="1:16">
      <c r="A1048" t="s">
        <v>1021</v>
      </c>
      <c r="B1048" t="s">
        <v>966</v>
      </c>
      <c r="C1048">
        <v>0.25</v>
      </c>
      <c r="D1048" t="s">
        <v>764</v>
      </c>
      <c r="E1048" t="s">
        <v>967</v>
      </c>
      <c r="F1048" t="s">
        <v>1102</v>
      </c>
      <c r="H1048">
        <v>999.99900000000002</v>
      </c>
      <c r="J1048">
        <v>107972093</v>
      </c>
      <c r="K1048" s="2">
        <v>45654</v>
      </c>
      <c r="L1048">
        <v>1</v>
      </c>
      <c r="M1048">
        <v>2</v>
      </c>
      <c r="N1048">
        <v>0</v>
      </c>
      <c r="O1048">
        <v>5</v>
      </c>
      <c r="P1048" t="s">
        <v>7</v>
      </c>
    </row>
    <row r="1049" spans="1:16">
      <c r="A1049" t="s">
        <v>1021</v>
      </c>
      <c r="B1049" t="s">
        <v>968</v>
      </c>
      <c r="C1049">
        <v>8.9999999999999993E-3</v>
      </c>
      <c r="D1049" t="s">
        <v>6</v>
      </c>
      <c r="E1049" t="s">
        <v>964</v>
      </c>
      <c r="F1049" t="s">
        <v>965</v>
      </c>
      <c r="G1049" t="s">
        <v>968</v>
      </c>
      <c r="H1049">
        <v>8.1120000000000001</v>
      </c>
      <c r="J1049">
        <v>107845491</v>
      </c>
      <c r="K1049" s="2">
        <v>45546</v>
      </c>
      <c r="L1049">
        <v>28</v>
      </c>
      <c r="M1049">
        <v>1</v>
      </c>
      <c r="N1049">
        <v>0</v>
      </c>
      <c r="O1049">
        <v>1</v>
      </c>
      <c r="P1049" t="s">
        <v>7</v>
      </c>
    </row>
    <row r="1050" spans="1:16">
      <c r="A1050" t="s">
        <v>1021</v>
      </c>
      <c r="B1050" t="s">
        <v>1057</v>
      </c>
      <c r="C1050">
        <v>1.9E-2</v>
      </c>
      <c r="D1050" t="s">
        <v>756</v>
      </c>
      <c r="E1050" t="s">
        <v>967</v>
      </c>
      <c r="F1050" t="s">
        <v>965</v>
      </c>
      <c r="H1050">
        <v>999.99900000000002</v>
      </c>
      <c r="J1050">
        <v>107834460</v>
      </c>
      <c r="K1050" s="2">
        <v>45534</v>
      </c>
      <c r="L1050">
        <v>30</v>
      </c>
      <c r="M1050">
        <v>1</v>
      </c>
      <c r="N1050">
        <v>4</v>
      </c>
      <c r="O1050">
        <v>1</v>
      </c>
      <c r="P1050" t="s">
        <v>7</v>
      </c>
    </row>
    <row r="1051" spans="1:16">
      <c r="A1051" t="s">
        <v>1021</v>
      </c>
      <c r="B1051" t="s">
        <v>965</v>
      </c>
      <c r="C1051">
        <v>7.5999999999999998E-2</v>
      </c>
      <c r="D1051" t="s">
        <v>764</v>
      </c>
      <c r="E1051" t="s">
        <v>968</v>
      </c>
      <c r="F1051" t="s">
        <v>963</v>
      </c>
      <c r="G1051" t="s">
        <v>962</v>
      </c>
      <c r="H1051">
        <v>2.1160000000000001</v>
      </c>
      <c r="J1051">
        <v>108188729</v>
      </c>
      <c r="K1051" s="2">
        <v>45869</v>
      </c>
      <c r="L1051">
        <v>24</v>
      </c>
      <c r="M1051">
        <v>1</v>
      </c>
      <c r="N1051">
        <v>12</v>
      </c>
      <c r="O1051">
        <v>1</v>
      </c>
      <c r="P1051" t="s">
        <v>7</v>
      </c>
    </row>
    <row r="1052" spans="1:16">
      <c r="A1052" t="s">
        <v>1021</v>
      </c>
      <c r="B1052" t="s">
        <v>1150</v>
      </c>
      <c r="C1052">
        <v>5.0000000000000001E-3</v>
      </c>
      <c r="D1052" t="s">
        <v>6</v>
      </c>
      <c r="E1052" t="s">
        <v>965</v>
      </c>
      <c r="H1052">
        <v>999.99900000000002</v>
      </c>
      <c r="J1052">
        <v>107872333</v>
      </c>
      <c r="K1052" s="2">
        <v>45562</v>
      </c>
      <c r="L1052">
        <v>20</v>
      </c>
      <c r="M1052">
        <v>2</v>
      </c>
      <c r="N1052">
        <v>0</v>
      </c>
      <c r="O1052">
        <v>1</v>
      </c>
    </row>
    <row r="1053" spans="1:16">
      <c r="A1053" t="s">
        <v>1021</v>
      </c>
      <c r="B1053" t="s">
        <v>965</v>
      </c>
      <c r="C1053">
        <v>1.2999999999999999E-2</v>
      </c>
      <c r="D1053" t="s">
        <v>764</v>
      </c>
      <c r="E1053" t="s">
        <v>968</v>
      </c>
      <c r="F1053" t="s">
        <v>967</v>
      </c>
      <c r="G1053" t="s">
        <v>962</v>
      </c>
      <c r="H1053">
        <v>2.1789999999999998</v>
      </c>
      <c r="J1053">
        <v>107923709</v>
      </c>
      <c r="K1053" s="2">
        <v>45613</v>
      </c>
      <c r="L1053">
        <v>21</v>
      </c>
      <c r="M1053">
        <v>1</v>
      </c>
      <c r="N1053">
        <v>7</v>
      </c>
      <c r="O1053">
        <v>1</v>
      </c>
      <c r="P1053" t="s">
        <v>7</v>
      </c>
    </row>
    <row r="1054" spans="1:16">
      <c r="A1054" t="s">
        <v>1021</v>
      </c>
      <c r="B1054" t="s">
        <v>967</v>
      </c>
      <c r="C1054">
        <v>1.9E-2</v>
      </c>
      <c r="D1054" t="s">
        <v>6</v>
      </c>
      <c r="E1054" t="s">
        <v>965</v>
      </c>
      <c r="F1054" t="s">
        <v>963</v>
      </c>
      <c r="G1054" t="s">
        <v>960</v>
      </c>
      <c r="H1054">
        <v>1.4890000000000001</v>
      </c>
      <c r="J1054">
        <v>107845703</v>
      </c>
      <c r="K1054" s="2">
        <v>45546</v>
      </c>
      <c r="L1054">
        <v>30</v>
      </c>
      <c r="M1054">
        <v>1</v>
      </c>
      <c r="N1054">
        <v>0</v>
      </c>
      <c r="O1054">
        <v>1</v>
      </c>
      <c r="P1054" t="s">
        <v>7</v>
      </c>
    </row>
    <row r="1055" spans="1:16">
      <c r="A1055" t="s">
        <v>1021</v>
      </c>
      <c r="B1055" t="s">
        <v>1023</v>
      </c>
      <c r="C1055">
        <v>0</v>
      </c>
      <c r="E1055" t="s">
        <v>965</v>
      </c>
      <c r="F1055" t="s">
        <v>1042</v>
      </c>
      <c r="G1055" t="s">
        <v>961</v>
      </c>
      <c r="H1055">
        <v>0.66500000000000004</v>
      </c>
      <c r="J1055">
        <v>107863754</v>
      </c>
      <c r="K1055" s="2">
        <v>45561</v>
      </c>
      <c r="L1055">
        <v>21</v>
      </c>
      <c r="M1055">
        <v>2</v>
      </c>
      <c r="N1055">
        <v>7</v>
      </c>
      <c r="O1055">
        <v>1</v>
      </c>
      <c r="P1055" t="s">
        <v>7</v>
      </c>
    </row>
    <row r="1056" spans="1:16">
      <c r="A1056" t="s">
        <v>1021</v>
      </c>
      <c r="B1056" t="s">
        <v>965</v>
      </c>
      <c r="C1056">
        <v>0</v>
      </c>
      <c r="E1056" t="s">
        <v>968</v>
      </c>
      <c r="F1056" t="s">
        <v>1023</v>
      </c>
      <c r="G1056" t="s">
        <v>962</v>
      </c>
      <c r="H1056">
        <v>2.1920000000000002</v>
      </c>
      <c r="J1056">
        <v>107845488</v>
      </c>
      <c r="K1056" s="2">
        <v>45545</v>
      </c>
      <c r="L1056">
        <v>26</v>
      </c>
      <c r="M1056">
        <v>1</v>
      </c>
      <c r="N1056">
        <v>7</v>
      </c>
      <c r="O1056">
        <v>1</v>
      </c>
      <c r="P1056" t="s">
        <v>7</v>
      </c>
    </row>
    <row r="1057" spans="1:19">
      <c r="A1057" t="s">
        <v>1021</v>
      </c>
      <c r="B1057" t="s">
        <v>965</v>
      </c>
      <c r="C1057">
        <v>1E-3</v>
      </c>
      <c r="D1057" t="s">
        <v>764</v>
      </c>
      <c r="E1057" t="s">
        <v>968</v>
      </c>
      <c r="F1057" t="s">
        <v>1182</v>
      </c>
      <c r="G1057" t="s">
        <v>962</v>
      </c>
      <c r="H1057">
        <v>2.1909999999999998</v>
      </c>
      <c r="J1057">
        <v>107925452</v>
      </c>
      <c r="K1057" s="2">
        <v>45614</v>
      </c>
      <c r="L1057">
        <v>21</v>
      </c>
      <c r="M1057">
        <v>1</v>
      </c>
      <c r="N1057">
        <v>7</v>
      </c>
      <c r="O1057">
        <v>1</v>
      </c>
      <c r="P1057" t="s">
        <v>7</v>
      </c>
    </row>
    <row r="1058" spans="1:19">
      <c r="A1058" t="s">
        <v>1021</v>
      </c>
      <c r="B1058" t="s">
        <v>965</v>
      </c>
      <c r="C1058">
        <v>2.8000000000000001E-2</v>
      </c>
      <c r="D1058" t="s">
        <v>756</v>
      </c>
      <c r="E1058" t="s">
        <v>1023</v>
      </c>
      <c r="F1058" t="s">
        <v>1039</v>
      </c>
      <c r="G1058" t="s">
        <v>961</v>
      </c>
      <c r="H1058">
        <v>0.69299999999999995</v>
      </c>
      <c r="J1058">
        <v>107927943</v>
      </c>
      <c r="K1058" s="2">
        <v>45616</v>
      </c>
      <c r="L1058">
        <v>21</v>
      </c>
      <c r="M1058">
        <v>2</v>
      </c>
      <c r="N1058">
        <v>7</v>
      </c>
      <c r="O1058">
        <v>1</v>
      </c>
      <c r="P1058" t="s">
        <v>7</v>
      </c>
    </row>
    <row r="1059" spans="1:19">
      <c r="A1059" t="s">
        <v>1021</v>
      </c>
      <c r="B1059" t="s">
        <v>965</v>
      </c>
      <c r="C1059">
        <v>0</v>
      </c>
      <c r="E1059" t="s">
        <v>965</v>
      </c>
      <c r="F1059" t="s">
        <v>1023</v>
      </c>
      <c r="G1059" t="s">
        <v>965</v>
      </c>
      <c r="H1059">
        <v>999.99900000000002</v>
      </c>
      <c r="J1059">
        <v>108089486</v>
      </c>
      <c r="K1059" s="2">
        <v>45772</v>
      </c>
      <c r="L1059">
        <v>30</v>
      </c>
      <c r="M1059">
        <v>1</v>
      </c>
      <c r="N1059">
        <v>0</v>
      </c>
      <c r="O1059">
        <v>1</v>
      </c>
      <c r="P1059" t="s">
        <v>3</v>
      </c>
    </row>
    <row r="1060" spans="1:19">
      <c r="A1060" t="s">
        <v>1021</v>
      </c>
      <c r="B1060" t="s">
        <v>965</v>
      </c>
      <c r="C1060">
        <v>3.2000000000000001E-2</v>
      </c>
      <c r="D1060" t="s">
        <v>765</v>
      </c>
      <c r="E1060" t="s">
        <v>1056</v>
      </c>
      <c r="F1060" t="s">
        <v>1038</v>
      </c>
      <c r="G1060" t="s">
        <v>961</v>
      </c>
      <c r="H1060">
        <v>1.2450000000000001</v>
      </c>
      <c r="J1060">
        <v>107913535</v>
      </c>
      <c r="K1060" s="2">
        <v>45603</v>
      </c>
      <c r="L1060">
        <v>21</v>
      </c>
      <c r="M1060">
        <v>1</v>
      </c>
      <c r="N1060">
        <v>0</v>
      </c>
      <c r="O1060">
        <v>1</v>
      </c>
      <c r="P1060" t="s">
        <v>3</v>
      </c>
    </row>
    <row r="1061" spans="1:19">
      <c r="A1061" t="s">
        <v>1021</v>
      </c>
      <c r="B1061" t="s">
        <v>965</v>
      </c>
      <c r="C1061">
        <v>0</v>
      </c>
      <c r="E1061" t="s">
        <v>1039</v>
      </c>
      <c r="F1061" t="s">
        <v>1038</v>
      </c>
      <c r="G1061" t="s">
        <v>961</v>
      </c>
      <c r="H1061">
        <v>0.83899999999999997</v>
      </c>
      <c r="J1061">
        <v>107440850</v>
      </c>
      <c r="K1061" s="2">
        <v>45167</v>
      </c>
      <c r="L1061">
        <v>26</v>
      </c>
      <c r="M1061">
        <v>1</v>
      </c>
      <c r="N1061">
        <v>0</v>
      </c>
      <c r="O1061">
        <v>1</v>
      </c>
      <c r="P1061" t="s">
        <v>7</v>
      </c>
    </row>
    <row r="1062" spans="1:19">
      <c r="A1062" t="s">
        <v>1021</v>
      </c>
      <c r="B1062" t="s">
        <v>965</v>
      </c>
      <c r="C1062">
        <v>0</v>
      </c>
      <c r="E1062" t="s">
        <v>1038</v>
      </c>
      <c r="F1062" t="s">
        <v>1056</v>
      </c>
      <c r="G1062" t="s">
        <v>965</v>
      </c>
      <c r="H1062">
        <v>999.99900000000002</v>
      </c>
      <c r="J1062">
        <v>107758889</v>
      </c>
      <c r="K1062" s="2">
        <v>45464</v>
      </c>
      <c r="L1062">
        <v>30</v>
      </c>
      <c r="M1062">
        <v>1</v>
      </c>
      <c r="N1062">
        <v>0</v>
      </c>
      <c r="O1062">
        <v>1</v>
      </c>
      <c r="P1062" t="s">
        <v>7</v>
      </c>
    </row>
    <row r="1063" spans="1:19">
      <c r="A1063" t="s">
        <v>1021</v>
      </c>
      <c r="B1063" t="s">
        <v>965</v>
      </c>
      <c r="C1063">
        <v>0</v>
      </c>
      <c r="E1063" t="s">
        <v>1023</v>
      </c>
      <c r="F1063" t="s">
        <v>1038</v>
      </c>
      <c r="G1063" t="s">
        <v>961</v>
      </c>
      <c r="H1063">
        <v>0.66500000000000004</v>
      </c>
      <c r="J1063">
        <v>107963003</v>
      </c>
      <c r="K1063" s="2">
        <v>45644</v>
      </c>
      <c r="L1063">
        <v>23</v>
      </c>
      <c r="M1063">
        <v>1</v>
      </c>
      <c r="N1063">
        <v>7</v>
      </c>
      <c r="O1063">
        <v>4</v>
      </c>
      <c r="P1063" t="s">
        <v>3</v>
      </c>
    </row>
    <row r="1064" spans="1:19">
      <c r="A1064" t="s">
        <v>1021</v>
      </c>
      <c r="B1064" t="s">
        <v>965</v>
      </c>
      <c r="C1064">
        <v>2E-3</v>
      </c>
      <c r="D1064" t="s">
        <v>758</v>
      </c>
      <c r="E1064" t="s">
        <v>1038</v>
      </c>
      <c r="F1064" t="s">
        <v>1056</v>
      </c>
      <c r="G1064" t="s">
        <v>965</v>
      </c>
      <c r="H1064">
        <v>999.99900000000002</v>
      </c>
      <c r="J1064">
        <v>107991129</v>
      </c>
      <c r="K1064" s="2">
        <v>45672</v>
      </c>
      <c r="L1064">
        <v>21</v>
      </c>
      <c r="M1064">
        <v>1</v>
      </c>
      <c r="N1064">
        <v>7</v>
      </c>
      <c r="O1064">
        <v>1</v>
      </c>
      <c r="P1064" t="s">
        <v>7</v>
      </c>
    </row>
    <row r="1065" spans="1:19">
      <c r="A1065" t="s">
        <v>1021</v>
      </c>
      <c r="B1065" t="s">
        <v>965</v>
      </c>
      <c r="C1065">
        <v>6.5000000000000002E-2</v>
      </c>
      <c r="D1065" t="s">
        <v>765</v>
      </c>
      <c r="E1065" t="s">
        <v>1038</v>
      </c>
      <c r="F1065" t="s">
        <v>1039</v>
      </c>
      <c r="G1065" t="s">
        <v>965</v>
      </c>
      <c r="H1065">
        <v>999.99900000000002</v>
      </c>
      <c r="J1065">
        <v>108028220</v>
      </c>
      <c r="K1065" s="2">
        <v>45711</v>
      </c>
      <c r="L1065">
        <v>17</v>
      </c>
      <c r="M1065">
        <v>1</v>
      </c>
      <c r="N1065">
        <v>0</v>
      </c>
      <c r="O1065">
        <v>3</v>
      </c>
      <c r="P1065" t="s">
        <v>7</v>
      </c>
    </row>
    <row r="1066" spans="1:19">
      <c r="A1066" t="s">
        <v>1021</v>
      </c>
      <c r="B1066" t="s">
        <v>965</v>
      </c>
      <c r="C1066">
        <v>1.9E-2</v>
      </c>
      <c r="D1066" t="s">
        <v>765</v>
      </c>
      <c r="E1066" t="s">
        <v>1032</v>
      </c>
      <c r="F1066" t="s">
        <v>1054</v>
      </c>
      <c r="G1066" t="s">
        <v>961</v>
      </c>
      <c r="H1066">
        <v>1.8240000000000001</v>
      </c>
      <c r="J1066">
        <v>108055389</v>
      </c>
      <c r="K1066" s="2">
        <v>45737</v>
      </c>
      <c r="L1066">
        <v>30</v>
      </c>
      <c r="M1066">
        <v>1</v>
      </c>
      <c r="N1066">
        <v>0</v>
      </c>
      <c r="O1066">
        <v>1</v>
      </c>
      <c r="P1066" t="s">
        <v>7</v>
      </c>
    </row>
    <row r="1067" spans="1:19">
      <c r="A1067" t="s">
        <v>1021</v>
      </c>
      <c r="B1067" t="s">
        <v>967</v>
      </c>
      <c r="C1067">
        <v>2E-3</v>
      </c>
      <c r="D1067" t="s">
        <v>757</v>
      </c>
      <c r="E1067" t="s">
        <v>965</v>
      </c>
      <c r="F1067" t="s">
        <v>963</v>
      </c>
      <c r="G1067" t="s">
        <v>960</v>
      </c>
      <c r="H1067">
        <v>1.4870000000000001</v>
      </c>
      <c r="J1067">
        <v>108071192</v>
      </c>
      <c r="K1067" s="2">
        <v>45754</v>
      </c>
      <c r="L1067">
        <v>21</v>
      </c>
      <c r="M1067">
        <v>2</v>
      </c>
      <c r="N1067">
        <v>7</v>
      </c>
      <c r="O1067">
        <v>1</v>
      </c>
      <c r="P1067" t="s">
        <v>7</v>
      </c>
    </row>
    <row r="1068" spans="1:19">
      <c r="A1068" t="s">
        <v>1021</v>
      </c>
      <c r="B1068" t="s">
        <v>965</v>
      </c>
      <c r="C1068">
        <v>0</v>
      </c>
      <c r="E1068" t="s">
        <v>1022</v>
      </c>
      <c r="G1068" t="s">
        <v>961</v>
      </c>
      <c r="H1068">
        <v>0.21099999999999999</v>
      </c>
      <c r="J1068">
        <v>108093329</v>
      </c>
      <c r="K1068" s="2">
        <v>45775</v>
      </c>
      <c r="L1068">
        <v>28</v>
      </c>
      <c r="M1068">
        <v>1</v>
      </c>
      <c r="N1068">
        <v>8</v>
      </c>
      <c r="O1068">
        <v>1</v>
      </c>
      <c r="P1068" t="s">
        <v>7</v>
      </c>
    </row>
    <row r="1069" spans="1:19">
      <c r="A1069" t="s">
        <v>1021</v>
      </c>
      <c r="B1069" t="s">
        <v>965</v>
      </c>
      <c r="C1069">
        <v>3.7999999999999999E-2</v>
      </c>
      <c r="D1069" t="s">
        <v>756</v>
      </c>
      <c r="E1069" t="s">
        <v>1039</v>
      </c>
      <c r="F1069" t="s">
        <v>1038</v>
      </c>
      <c r="G1069" t="s">
        <v>961</v>
      </c>
      <c r="H1069">
        <v>0.877</v>
      </c>
      <c r="J1069">
        <v>108044942</v>
      </c>
      <c r="K1069" s="2">
        <v>45727</v>
      </c>
      <c r="L1069">
        <v>21</v>
      </c>
      <c r="M1069">
        <v>1</v>
      </c>
      <c r="N1069">
        <v>0</v>
      </c>
      <c r="O1069">
        <v>1</v>
      </c>
      <c r="P1069" t="s">
        <v>7</v>
      </c>
    </row>
    <row r="1070" spans="1:19">
      <c r="A1070" t="s">
        <v>1021</v>
      </c>
      <c r="B1070" t="s">
        <v>964</v>
      </c>
      <c r="C1070">
        <v>2E-3</v>
      </c>
      <c r="D1070" t="s">
        <v>764</v>
      </c>
      <c r="E1070" t="s">
        <v>968</v>
      </c>
      <c r="F1070" t="s">
        <v>967</v>
      </c>
      <c r="G1070" t="s">
        <v>960</v>
      </c>
      <c r="H1070">
        <v>2E-3</v>
      </c>
      <c r="J1070">
        <v>108029531</v>
      </c>
      <c r="K1070" s="2">
        <v>45712</v>
      </c>
      <c r="L1070">
        <v>21</v>
      </c>
      <c r="M1070">
        <v>1</v>
      </c>
      <c r="N1070">
        <v>7</v>
      </c>
      <c r="O1070">
        <v>1</v>
      </c>
      <c r="P1070" t="s">
        <v>7</v>
      </c>
    </row>
    <row r="1071" spans="1:19">
      <c r="A1071" t="s">
        <v>1021</v>
      </c>
      <c r="B1071" t="s">
        <v>968</v>
      </c>
      <c r="C1071">
        <v>4.0000000000000001E-3</v>
      </c>
      <c r="D1071" t="s">
        <v>765</v>
      </c>
      <c r="E1071" t="s">
        <v>965</v>
      </c>
      <c r="F1071" t="s">
        <v>977</v>
      </c>
      <c r="G1071" t="s">
        <v>968</v>
      </c>
      <c r="H1071">
        <v>7.7539999999999996</v>
      </c>
      <c r="J1071">
        <v>108029463</v>
      </c>
      <c r="K1071" s="2">
        <v>45712</v>
      </c>
      <c r="L1071">
        <v>1</v>
      </c>
      <c r="M1071">
        <v>1</v>
      </c>
      <c r="N1071">
        <v>7</v>
      </c>
      <c r="O1071">
        <v>1</v>
      </c>
      <c r="P1071" t="s">
        <v>8</v>
      </c>
      <c r="Q1071">
        <v>35.177644999999998</v>
      </c>
      <c r="R1071">
        <v>-79.431486000000007</v>
      </c>
      <c r="S1071" t="s">
        <v>1060</v>
      </c>
    </row>
    <row r="1072" spans="1:19">
      <c r="A1072" t="s">
        <v>1021</v>
      </c>
      <c r="B1072" t="s">
        <v>965</v>
      </c>
      <c r="C1072">
        <v>0</v>
      </c>
      <c r="E1072" t="s">
        <v>979</v>
      </c>
      <c r="F1072" t="s">
        <v>1088</v>
      </c>
      <c r="G1072" t="s">
        <v>961</v>
      </c>
      <c r="H1072">
        <v>1.5960000000000001</v>
      </c>
      <c r="J1072">
        <v>108029530</v>
      </c>
      <c r="K1072" s="2">
        <v>45712</v>
      </c>
      <c r="L1072">
        <v>21</v>
      </c>
      <c r="M1072">
        <v>1</v>
      </c>
      <c r="N1072">
        <v>0</v>
      </c>
      <c r="O1072">
        <v>1</v>
      </c>
      <c r="P1072" t="s">
        <v>7</v>
      </c>
    </row>
    <row r="1073" spans="1:19">
      <c r="A1073" t="s">
        <v>1021</v>
      </c>
      <c r="B1073" t="s">
        <v>965</v>
      </c>
      <c r="C1073">
        <v>0</v>
      </c>
      <c r="E1073" t="s">
        <v>1038</v>
      </c>
      <c r="F1073" t="s">
        <v>1056</v>
      </c>
      <c r="G1073" t="s">
        <v>965</v>
      </c>
      <c r="H1073">
        <v>999.99900000000002</v>
      </c>
      <c r="J1073">
        <v>107715242</v>
      </c>
      <c r="K1073" s="2">
        <v>45406</v>
      </c>
      <c r="L1073">
        <v>30</v>
      </c>
      <c r="M1073">
        <v>1</v>
      </c>
      <c r="N1073">
        <v>8</v>
      </c>
      <c r="O1073">
        <v>1</v>
      </c>
      <c r="P1073" t="s">
        <v>7</v>
      </c>
    </row>
    <row r="1074" spans="1:19">
      <c r="A1074" t="s">
        <v>1021</v>
      </c>
      <c r="B1074" t="s">
        <v>1038</v>
      </c>
      <c r="C1074">
        <v>0</v>
      </c>
      <c r="E1074" t="s">
        <v>965</v>
      </c>
      <c r="G1074" t="s">
        <v>965</v>
      </c>
      <c r="H1074">
        <v>999.99900000000002</v>
      </c>
      <c r="J1074">
        <v>108006858</v>
      </c>
      <c r="K1074" s="2">
        <v>45688</v>
      </c>
      <c r="L1074">
        <v>14</v>
      </c>
      <c r="M1074">
        <v>1</v>
      </c>
      <c r="N1074">
        <v>8</v>
      </c>
      <c r="O1074">
        <v>1</v>
      </c>
      <c r="P1074" t="s">
        <v>3</v>
      </c>
      <c r="Q1074">
        <v>35.173740000000002</v>
      </c>
      <c r="R1074">
        <v>-79.413404</v>
      </c>
      <c r="S1074" t="s">
        <v>1060</v>
      </c>
    </row>
    <row r="1075" spans="1:19">
      <c r="A1075" t="s">
        <v>1021</v>
      </c>
      <c r="B1075" t="s">
        <v>979</v>
      </c>
      <c r="C1075">
        <v>1.9E-2</v>
      </c>
      <c r="D1075" t="s">
        <v>6</v>
      </c>
      <c r="E1075" t="s">
        <v>965</v>
      </c>
      <c r="F1075" t="s">
        <v>1092</v>
      </c>
      <c r="G1075" t="s">
        <v>979</v>
      </c>
      <c r="H1075">
        <v>9.6440000000000001</v>
      </c>
      <c r="J1075">
        <v>108147858</v>
      </c>
      <c r="K1075" s="2">
        <v>45828</v>
      </c>
      <c r="L1075">
        <v>28</v>
      </c>
      <c r="M1075">
        <v>1</v>
      </c>
      <c r="N1075">
        <v>0</v>
      </c>
      <c r="O1075">
        <v>4</v>
      </c>
      <c r="P1075" t="s">
        <v>3</v>
      </c>
    </row>
    <row r="1076" spans="1:19">
      <c r="A1076" t="s">
        <v>1021</v>
      </c>
      <c r="B1076" t="s">
        <v>962</v>
      </c>
      <c r="C1076">
        <v>8.4000000000000005E-2</v>
      </c>
      <c r="D1076" t="s">
        <v>756</v>
      </c>
      <c r="E1076" t="s">
        <v>968</v>
      </c>
      <c r="F1076" t="s">
        <v>963</v>
      </c>
      <c r="G1076" t="s">
        <v>962</v>
      </c>
      <c r="H1076">
        <v>2.1920000000000002</v>
      </c>
      <c r="J1076">
        <v>108153033</v>
      </c>
      <c r="K1076" s="2">
        <v>45832</v>
      </c>
      <c r="L1076">
        <v>17</v>
      </c>
      <c r="M1076">
        <v>1</v>
      </c>
      <c r="N1076">
        <v>0</v>
      </c>
      <c r="O1076">
        <v>1</v>
      </c>
      <c r="P1076" t="s">
        <v>7</v>
      </c>
      <c r="Q1076">
        <v>35.177509999999998</v>
      </c>
      <c r="R1076">
        <v>-79.428079999999994</v>
      </c>
      <c r="S1076" t="s">
        <v>761</v>
      </c>
    </row>
    <row r="1077" spans="1:19">
      <c r="A1077" t="s">
        <v>1021</v>
      </c>
      <c r="B1077" t="s">
        <v>1044</v>
      </c>
      <c r="C1077">
        <v>1.9E-2</v>
      </c>
      <c r="D1077" t="s">
        <v>757</v>
      </c>
      <c r="E1077" t="s">
        <v>965</v>
      </c>
      <c r="F1077" t="s">
        <v>967</v>
      </c>
      <c r="H1077">
        <v>999.99900000000002</v>
      </c>
      <c r="J1077">
        <v>108170634</v>
      </c>
      <c r="K1077" s="2">
        <v>45850</v>
      </c>
      <c r="L1077">
        <v>20</v>
      </c>
      <c r="M1077">
        <v>2</v>
      </c>
      <c r="N1077">
        <v>0</v>
      </c>
      <c r="O1077">
        <v>1</v>
      </c>
      <c r="P1077" t="s">
        <v>7</v>
      </c>
    </row>
    <row r="1078" spans="1:19">
      <c r="A1078" t="s">
        <v>754</v>
      </c>
      <c r="B1078" t="s">
        <v>968</v>
      </c>
      <c r="C1078">
        <v>0</v>
      </c>
      <c r="E1078" t="s">
        <v>962</v>
      </c>
      <c r="F1078" t="s">
        <v>979</v>
      </c>
      <c r="G1078" t="s">
        <v>968</v>
      </c>
      <c r="H1078">
        <v>7.75</v>
      </c>
      <c r="J1078">
        <v>108185010</v>
      </c>
      <c r="K1078" s="2">
        <v>45866</v>
      </c>
      <c r="L1078">
        <v>21</v>
      </c>
      <c r="M1078">
        <v>1</v>
      </c>
      <c r="N1078">
        <v>7</v>
      </c>
      <c r="O1078">
        <v>1</v>
      </c>
      <c r="P1078" t="s">
        <v>7</v>
      </c>
      <c r="Q1078">
        <v>35.178800000000003</v>
      </c>
      <c r="R1078">
        <v>-79.430070000000001</v>
      </c>
      <c r="S1078" t="s">
        <v>761</v>
      </c>
    </row>
    <row r="1079" spans="1:19">
      <c r="A1079" t="s">
        <v>1021</v>
      </c>
      <c r="B1079" t="s">
        <v>968</v>
      </c>
      <c r="C1079">
        <v>0</v>
      </c>
      <c r="D1079" t="s">
        <v>757</v>
      </c>
      <c r="E1079" t="s">
        <v>965</v>
      </c>
      <c r="F1079" t="s">
        <v>964</v>
      </c>
      <c r="G1079" t="s">
        <v>968</v>
      </c>
      <c r="H1079">
        <v>7.75</v>
      </c>
      <c r="J1079">
        <v>108194616</v>
      </c>
      <c r="K1079" s="2">
        <v>45874</v>
      </c>
      <c r="L1079">
        <v>28</v>
      </c>
      <c r="M1079">
        <v>2</v>
      </c>
      <c r="N1079">
        <v>0</v>
      </c>
      <c r="O1079">
        <v>4</v>
      </c>
      <c r="P1079" t="s">
        <v>7</v>
      </c>
    </row>
    <row r="1080" spans="1:19">
      <c r="A1080" t="s">
        <v>1021</v>
      </c>
      <c r="B1080" t="s">
        <v>968</v>
      </c>
      <c r="C1080">
        <v>0</v>
      </c>
      <c r="E1080" t="s">
        <v>965</v>
      </c>
      <c r="G1080" t="s">
        <v>968</v>
      </c>
      <c r="H1080">
        <v>7.75</v>
      </c>
      <c r="J1080">
        <v>108185742</v>
      </c>
      <c r="K1080" s="2">
        <v>45867</v>
      </c>
      <c r="L1080">
        <v>21</v>
      </c>
      <c r="M1080">
        <v>1</v>
      </c>
      <c r="N1080">
        <v>7</v>
      </c>
      <c r="O1080">
        <v>1</v>
      </c>
      <c r="P1080" t="s">
        <v>3</v>
      </c>
    </row>
    <row r="1081" spans="1:19">
      <c r="A1081" t="s">
        <v>1021</v>
      </c>
      <c r="B1081" t="s">
        <v>965</v>
      </c>
      <c r="C1081">
        <v>1.9E-2</v>
      </c>
      <c r="D1081" t="s">
        <v>758</v>
      </c>
      <c r="E1081" t="s">
        <v>1032</v>
      </c>
      <c r="F1081" t="s">
        <v>1054</v>
      </c>
      <c r="G1081" t="s">
        <v>961</v>
      </c>
      <c r="H1081">
        <v>1.8240000000000001</v>
      </c>
      <c r="J1081">
        <v>108170643</v>
      </c>
      <c r="K1081" s="2">
        <v>45852</v>
      </c>
      <c r="L1081">
        <v>21</v>
      </c>
      <c r="M1081">
        <v>1</v>
      </c>
      <c r="N1081">
        <v>0</v>
      </c>
      <c r="O1081">
        <v>1</v>
      </c>
      <c r="P1081" t="s">
        <v>7</v>
      </c>
    </row>
    <row r="1082" spans="1:19">
      <c r="A1082" t="s">
        <v>1021</v>
      </c>
      <c r="B1082" t="s">
        <v>1026</v>
      </c>
      <c r="C1082">
        <v>1.9E-2</v>
      </c>
      <c r="D1082" t="s">
        <v>757</v>
      </c>
      <c r="E1082" t="s">
        <v>965</v>
      </c>
      <c r="F1082" t="s">
        <v>1055</v>
      </c>
      <c r="G1082" t="s">
        <v>1036</v>
      </c>
      <c r="H1082">
        <v>0.66200000000000003</v>
      </c>
      <c r="J1082">
        <v>108159763</v>
      </c>
      <c r="K1082" s="2">
        <v>45838</v>
      </c>
      <c r="L1082">
        <v>1</v>
      </c>
      <c r="M1082">
        <v>1</v>
      </c>
      <c r="N1082">
        <v>0</v>
      </c>
      <c r="O1082">
        <v>4</v>
      </c>
      <c r="P1082" t="s">
        <v>10</v>
      </c>
    </row>
    <row r="1083" spans="1:19">
      <c r="A1083" t="s">
        <v>1021</v>
      </c>
      <c r="B1083" t="s">
        <v>965</v>
      </c>
      <c r="C1083">
        <v>0</v>
      </c>
      <c r="E1083" t="s">
        <v>968</v>
      </c>
      <c r="F1083" t="s">
        <v>977</v>
      </c>
      <c r="G1083" t="s">
        <v>962</v>
      </c>
      <c r="H1083">
        <v>2.1920000000000002</v>
      </c>
      <c r="J1083">
        <v>108225476</v>
      </c>
      <c r="K1083" s="2">
        <v>45909</v>
      </c>
      <c r="L1083">
        <v>21</v>
      </c>
      <c r="M1083">
        <v>1</v>
      </c>
      <c r="N1083">
        <v>7</v>
      </c>
      <c r="O1083">
        <v>1</v>
      </c>
      <c r="P1083" t="s">
        <v>7</v>
      </c>
    </row>
    <row r="1084" spans="1:19">
      <c r="A1084" t="s">
        <v>1021</v>
      </c>
      <c r="B1084" t="s">
        <v>968</v>
      </c>
      <c r="C1084">
        <v>4.0000000000000001E-3</v>
      </c>
      <c r="D1084" t="s">
        <v>6</v>
      </c>
      <c r="E1084" t="s">
        <v>965</v>
      </c>
      <c r="F1084" t="s">
        <v>1037</v>
      </c>
      <c r="G1084" t="s">
        <v>968</v>
      </c>
      <c r="H1084">
        <v>7.7460000000000004</v>
      </c>
      <c r="J1084">
        <v>108061436</v>
      </c>
      <c r="K1084" s="2">
        <v>45744</v>
      </c>
      <c r="L1084">
        <v>28</v>
      </c>
      <c r="M1084">
        <v>1</v>
      </c>
      <c r="N1084">
        <v>7</v>
      </c>
      <c r="O1084">
        <v>1</v>
      </c>
      <c r="P1084" t="s">
        <v>7</v>
      </c>
    </row>
    <row r="1085" spans="1:19">
      <c r="A1085" t="s">
        <v>1021</v>
      </c>
      <c r="B1085" t="s">
        <v>1032</v>
      </c>
      <c r="C1085">
        <v>8.9999999999999993E-3</v>
      </c>
      <c r="D1085" t="s">
        <v>757</v>
      </c>
      <c r="E1085" t="s">
        <v>965</v>
      </c>
      <c r="F1085" t="s">
        <v>1040</v>
      </c>
      <c r="G1085" t="s">
        <v>1032</v>
      </c>
      <c r="H1085">
        <v>0.129</v>
      </c>
      <c r="J1085">
        <v>108061554</v>
      </c>
      <c r="K1085" s="2">
        <v>45744</v>
      </c>
      <c r="L1085">
        <v>1</v>
      </c>
      <c r="M1085">
        <v>1</v>
      </c>
      <c r="N1085">
        <v>0</v>
      </c>
      <c r="O1085">
        <v>4</v>
      </c>
      <c r="P1085" t="s">
        <v>7</v>
      </c>
    </row>
    <row r="1086" spans="1:19">
      <c r="A1086" t="s">
        <v>1021</v>
      </c>
      <c r="B1086" t="s">
        <v>962</v>
      </c>
      <c r="C1086">
        <v>7.0000000000000001E-3</v>
      </c>
      <c r="D1086" t="s">
        <v>758</v>
      </c>
      <c r="E1086" t="s">
        <v>968</v>
      </c>
      <c r="F1086" t="s">
        <v>1024</v>
      </c>
      <c r="G1086" t="s">
        <v>962</v>
      </c>
      <c r="H1086">
        <v>2.1850000000000001</v>
      </c>
      <c r="J1086">
        <v>108034686</v>
      </c>
      <c r="K1086" s="2">
        <v>45707</v>
      </c>
      <c r="L1086">
        <v>19</v>
      </c>
      <c r="M1086">
        <v>6</v>
      </c>
      <c r="N1086">
        <v>0</v>
      </c>
      <c r="O1086">
        <v>1</v>
      </c>
      <c r="P1086" t="s">
        <v>3</v>
      </c>
      <c r="Q1086">
        <v>35.177199999999999</v>
      </c>
      <c r="R1086">
        <v>-79.431799999999996</v>
      </c>
      <c r="S1086" t="s">
        <v>761</v>
      </c>
    </row>
    <row r="1087" spans="1:19">
      <c r="A1087" t="s">
        <v>1021</v>
      </c>
      <c r="B1087" t="s">
        <v>968</v>
      </c>
      <c r="C1087">
        <v>8.9999999999999993E-3</v>
      </c>
      <c r="D1087" t="s">
        <v>6</v>
      </c>
      <c r="E1087" t="s">
        <v>965</v>
      </c>
      <c r="F1087" t="s">
        <v>963</v>
      </c>
      <c r="G1087" t="s">
        <v>968</v>
      </c>
      <c r="H1087">
        <v>7.7409999999999997</v>
      </c>
      <c r="J1087">
        <v>108073220</v>
      </c>
      <c r="K1087" s="2">
        <v>45756</v>
      </c>
      <c r="L1087">
        <v>30</v>
      </c>
      <c r="M1087">
        <v>1</v>
      </c>
      <c r="N1087">
        <v>0</v>
      </c>
      <c r="O1087">
        <v>1</v>
      </c>
      <c r="P1087" t="s">
        <v>7</v>
      </c>
    </row>
    <row r="1088" spans="1:19">
      <c r="A1088" t="s">
        <v>1021</v>
      </c>
      <c r="B1088" t="s">
        <v>1183</v>
      </c>
      <c r="C1088">
        <v>0</v>
      </c>
      <c r="D1088" t="s">
        <v>6</v>
      </c>
      <c r="E1088" t="s">
        <v>965</v>
      </c>
      <c r="H1088">
        <v>999.99900000000002</v>
      </c>
      <c r="J1088">
        <v>108148472</v>
      </c>
      <c r="K1088" s="2">
        <v>45829</v>
      </c>
      <c r="L1088">
        <v>1</v>
      </c>
      <c r="M1088">
        <v>1</v>
      </c>
      <c r="N1088">
        <v>0</v>
      </c>
      <c r="O1088">
        <v>1</v>
      </c>
      <c r="P1088" t="s">
        <v>7</v>
      </c>
    </row>
    <row r="1089" spans="1:16">
      <c r="A1089" t="s">
        <v>1021</v>
      </c>
      <c r="B1089" t="s">
        <v>965</v>
      </c>
      <c r="C1089">
        <v>2.8000000000000001E-2</v>
      </c>
      <c r="D1089" t="s">
        <v>765</v>
      </c>
      <c r="E1089" t="s">
        <v>1038</v>
      </c>
      <c r="F1089" t="s">
        <v>1039</v>
      </c>
      <c r="G1089" t="s">
        <v>965</v>
      </c>
      <c r="H1089">
        <v>999.99900000000002</v>
      </c>
      <c r="J1089">
        <v>108236675</v>
      </c>
      <c r="K1089" s="2">
        <v>45919</v>
      </c>
      <c r="L1089">
        <v>28</v>
      </c>
      <c r="M1089">
        <v>1</v>
      </c>
      <c r="N1089">
        <v>0</v>
      </c>
      <c r="O1089">
        <v>1</v>
      </c>
      <c r="P1089" t="s">
        <v>7</v>
      </c>
    </row>
    <row r="1090" spans="1:16">
      <c r="A1090" t="s">
        <v>1021</v>
      </c>
      <c r="B1090" t="s">
        <v>965</v>
      </c>
      <c r="C1090">
        <v>0</v>
      </c>
      <c r="E1090" t="s">
        <v>1023</v>
      </c>
      <c r="F1090" t="s">
        <v>1039</v>
      </c>
      <c r="G1090" t="s">
        <v>961</v>
      </c>
      <c r="H1090">
        <v>0.66500000000000004</v>
      </c>
      <c r="J1090">
        <v>108236674</v>
      </c>
      <c r="K1090" s="2">
        <v>45918</v>
      </c>
      <c r="L1090">
        <v>30</v>
      </c>
      <c r="M1090">
        <v>1</v>
      </c>
      <c r="N1090">
        <v>7</v>
      </c>
      <c r="O1090">
        <v>1</v>
      </c>
      <c r="P1090" t="s">
        <v>7</v>
      </c>
    </row>
    <row r="1091" spans="1:16">
      <c r="A1091" t="s">
        <v>1021</v>
      </c>
      <c r="B1091" t="s">
        <v>1184</v>
      </c>
      <c r="C1091">
        <v>1.9E-2</v>
      </c>
      <c r="D1091" t="s">
        <v>765</v>
      </c>
      <c r="E1091" t="s">
        <v>965</v>
      </c>
      <c r="F1091" t="s">
        <v>968</v>
      </c>
      <c r="H1091">
        <v>999.99900000000002</v>
      </c>
      <c r="J1091">
        <v>108237366</v>
      </c>
      <c r="K1091" s="2">
        <v>45920</v>
      </c>
      <c r="L1091">
        <v>20</v>
      </c>
      <c r="M1091">
        <v>1</v>
      </c>
      <c r="N1091">
        <v>0</v>
      </c>
      <c r="O1091">
        <v>1</v>
      </c>
    </row>
    <row r="1092" spans="1:16">
      <c r="A1092" t="s">
        <v>1021</v>
      </c>
      <c r="B1092" t="s">
        <v>1033</v>
      </c>
      <c r="C1092">
        <v>1E-3</v>
      </c>
      <c r="D1092" t="s">
        <v>764</v>
      </c>
      <c r="E1092" t="s">
        <v>965</v>
      </c>
      <c r="F1092" t="s">
        <v>1071</v>
      </c>
      <c r="G1092" t="s">
        <v>1033</v>
      </c>
      <c r="H1092">
        <v>0.60499999999999998</v>
      </c>
      <c r="I1092" t="s">
        <v>61</v>
      </c>
      <c r="J1092">
        <v>108068943</v>
      </c>
      <c r="K1092" s="2">
        <v>45753</v>
      </c>
      <c r="L1092">
        <v>21</v>
      </c>
      <c r="M1092">
        <v>1</v>
      </c>
      <c r="N1092">
        <v>7</v>
      </c>
      <c r="O1092">
        <v>4</v>
      </c>
      <c r="P1092" t="s">
        <v>7</v>
      </c>
    </row>
    <row r="1093" spans="1:16">
      <c r="A1093" t="s">
        <v>1021</v>
      </c>
      <c r="B1093" t="s">
        <v>979</v>
      </c>
      <c r="C1093">
        <v>0.02</v>
      </c>
      <c r="D1093" t="s">
        <v>757</v>
      </c>
      <c r="E1093" t="s">
        <v>965</v>
      </c>
      <c r="F1093" t="s">
        <v>979</v>
      </c>
      <c r="G1093" t="s">
        <v>979</v>
      </c>
      <c r="H1093">
        <v>9.6829999999999998</v>
      </c>
      <c r="J1093">
        <v>108020245</v>
      </c>
      <c r="K1093" s="2">
        <v>45703</v>
      </c>
      <c r="L1093">
        <v>1</v>
      </c>
      <c r="M1093">
        <v>1</v>
      </c>
      <c r="N1093">
        <v>19</v>
      </c>
      <c r="O1093">
        <v>4</v>
      </c>
      <c r="P1093" t="s">
        <v>7</v>
      </c>
    </row>
    <row r="1094" spans="1:16">
      <c r="A1094" t="s">
        <v>1021</v>
      </c>
      <c r="B1094" t="s">
        <v>965</v>
      </c>
      <c r="C1094">
        <v>8.9999999999999993E-3</v>
      </c>
      <c r="D1094" t="s">
        <v>756</v>
      </c>
      <c r="E1094" t="s">
        <v>1052</v>
      </c>
      <c r="F1094" t="s">
        <v>979</v>
      </c>
      <c r="G1094" t="s">
        <v>961</v>
      </c>
      <c r="H1094">
        <v>1.44</v>
      </c>
      <c r="J1094">
        <v>108318905</v>
      </c>
      <c r="K1094" s="2">
        <v>45985</v>
      </c>
      <c r="L1094">
        <v>21</v>
      </c>
      <c r="M1094">
        <v>1</v>
      </c>
      <c r="N1094">
        <v>8</v>
      </c>
      <c r="O1094">
        <v>4</v>
      </c>
      <c r="P1094" t="s">
        <v>7</v>
      </c>
    </row>
    <row r="1095" spans="1:16">
      <c r="A1095" t="s">
        <v>1021</v>
      </c>
      <c r="B1095" t="s">
        <v>1038</v>
      </c>
      <c r="C1095">
        <v>2.8000000000000001E-2</v>
      </c>
      <c r="D1095" t="s">
        <v>763</v>
      </c>
      <c r="E1095" t="s">
        <v>965</v>
      </c>
      <c r="F1095" t="s">
        <v>1185</v>
      </c>
      <c r="H1095">
        <v>999.99900000000002</v>
      </c>
      <c r="J1095">
        <v>108174677</v>
      </c>
      <c r="K1095" s="2">
        <v>45855</v>
      </c>
      <c r="L1095">
        <v>17</v>
      </c>
      <c r="M1095">
        <v>1</v>
      </c>
      <c r="N1095">
        <v>0</v>
      </c>
      <c r="O1095">
        <v>1</v>
      </c>
      <c r="P1095" t="s">
        <v>7</v>
      </c>
    </row>
    <row r="1096" spans="1:16">
      <c r="A1096" t="s">
        <v>1021</v>
      </c>
      <c r="B1096" t="s">
        <v>965</v>
      </c>
      <c r="C1096">
        <v>0.14599999999999999</v>
      </c>
      <c r="D1096" t="s">
        <v>762</v>
      </c>
      <c r="E1096" t="s">
        <v>1039</v>
      </c>
      <c r="F1096" t="s">
        <v>1038</v>
      </c>
      <c r="G1096" t="s">
        <v>961</v>
      </c>
      <c r="H1096">
        <v>0.98499999999999999</v>
      </c>
      <c r="J1096">
        <v>108332228</v>
      </c>
      <c r="K1096" s="2">
        <v>46000</v>
      </c>
      <c r="L1096">
        <v>21</v>
      </c>
      <c r="M1096">
        <v>1</v>
      </c>
      <c r="N1096">
        <v>0</v>
      </c>
      <c r="O1096">
        <v>1</v>
      </c>
      <c r="P1096" t="s">
        <v>7</v>
      </c>
    </row>
    <row r="1097" spans="1:16">
      <c r="A1097" t="s">
        <v>1021</v>
      </c>
      <c r="B1097" t="s">
        <v>1168</v>
      </c>
      <c r="C1097">
        <v>6.0000000000000001E-3</v>
      </c>
      <c r="D1097" t="s">
        <v>756</v>
      </c>
      <c r="E1097" t="s">
        <v>963</v>
      </c>
      <c r="H1097">
        <v>999.99900000000002</v>
      </c>
      <c r="J1097">
        <v>108051131</v>
      </c>
      <c r="K1097" s="2">
        <v>45733</v>
      </c>
      <c r="L1097">
        <v>20</v>
      </c>
      <c r="M1097">
        <v>1</v>
      </c>
      <c r="N1097">
        <v>0</v>
      </c>
      <c r="O1097">
        <v>1</v>
      </c>
      <c r="P1097" t="s">
        <v>7</v>
      </c>
    </row>
    <row r="1098" spans="1:16">
      <c r="A1098" t="s">
        <v>1021</v>
      </c>
      <c r="B1098" t="s">
        <v>965</v>
      </c>
      <c r="C1098">
        <v>0</v>
      </c>
      <c r="D1098" t="s">
        <v>756</v>
      </c>
      <c r="E1098" t="s">
        <v>968</v>
      </c>
      <c r="F1098" t="s">
        <v>967</v>
      </c>
      <c r="G1098" t="s">
        <v>962</v>
      </c>
      <c r="H1098">
        <v>2.1920000000000002</v>
      </c>
      <c r="J1098">
        <v>108154686</v>
      </c>
      <c r="K1098" s="2">
        <v>45834</v>
      </c>
      <c r="L1098">
        <v>26</v>
      </c>
      <c r="M1098">
        <v>1</v>
      </c>
      <c r="N1098">
        <v>0</v>
      </c>
      <c r="O1098">
        <v>1</v>
      </c>
      <c r="P1098" t="s">
        <v>7</v>
      </c>
    </row>
    <row r="1099" spans="1:16">
      <c r="A1099" t="s">
        <v>1021</v>
      </c>
      <c r="B1099" t="s">
        <v>968</v>
      </c>
      <c r="C1099">
        <v>0</v>
      </c>
      <c r="E1099" t="s">
        <v>964</v>
      </c>
      <c r="F1099" t="s">
        <v>985</v>
      </c>
      <c r="G1099" t="s">
        <v>968</v>
      </c>
      <c r="H1099">
        <v>8.1210000000000004</v>
      </c>
      <c r="J1099">
        <v>108155197</v>
      </c>
      <c r="K1099" s="2">
        <v>45835</v>
      </c>
      <c r="L1099">
        <v>21</v>
      </c>
      <c r="M1099">
        <v>2</v>
      </c>
      <c r="N1099">
        <v>7</v>
      </c>
      <c r="O1099">
        <v>1</v>
      </c>
      <c r="P1099" t="s">
        <v>7</v>
      </c>
    </row>
    <row r="1100" spans="1:16">
      <c r="A1100" t="s">
        <v>1021</v>
      </c>
      <c r="B1100" t="s">
        <v>968</v>
      </c>
      <c r="C1100">
        <v>0</v>
      </c>
      <c r="E1100" t="s">
        <v>965</v>
      </c>
      <c r="F1100" t="s">
        <v>963</v>
      </c>
      <c r="G1100" t="s">
        <v>968</v>
      </c>
      <c r="H1100">
        <v>7.75</v>
      </c>
      <c r="J1100">
        <v>108346595</v>
      </c>
      <c r="K1100" s="2">
        <v>46011</v>
      </c>
      <c r="L1100">
        <v>28</v>
      </c>
      <c r="M1100">
        <v>1</v>
      </c>
      <c r="N1100">
        <v>0</v>
      </c>
      <c r="O1100">
        <v>1</v>
      </c>
      <c r="P1100" t="s">
        <v>7</v>
      </c>
    </row>
    <row r="1101" spans="1:16">
      <c r="A1101" t="s">
        <v>1021</v>
      </c>
      <c r="B1101" t="s">
        <v>979</v>
      </c>
      <c r="C1101">
        <v>2E-3</v>
      </c>
      <c r="D1101" t="s">
        <v>6</v>
      </c>
      <c r="E1101" t="s">
        <v>965</v>
      </c>
      <c r="F1101" t="s">
        <v>1092</v>
      </c>
      <c r="G1101" t="s">
        <v>979</v>
      </c>
      <c r="H1101">
        <v>9.6609999999999996</v>
      </c>
      <c r="J1101">
        <v>108028219</v>
      </c>
      <c r="K1101" s="2">
        <v>45707</v>
      </c>
      <c r="L1101">
        <v>1</v>
      </c>
      <c r="M1101">
        <v>4</v>
      </c>
      <c r="N1101">
        <v>0</v>
      </c>
      <c r="O1101">
        <v>1</v>
      </c>
      <c r="P1101" t="s">
        <v>7</v>
      </c>
    </row>
    <row r="1102" spans="1:16">
      <c r="A1102" t="s">
        <v>1021</v>
      </c>
      <c r="B1102" t="s">
        <v>1186</v>
      </c>
      <c r="C1102">
        <v>0</v>
      </c>
      <c r="E1102" t="s">
        <v>964</v>
      </c>
      <c r="F1102" t="s">
        <v>967</v>
      </c>
      <c r="H1102">
        <v>999.99900000000002</v>
      </c>
      <c r="J1102">
        <v>108189347</v>
      </c>
      <c r="K1102" s="2">
        <v>45871</v>
      </c>
      <c r="L1102">
        <v>31</v>
      </c>
      <c r="M1102">
        <v>2</v>
      </c>
      <c r="N1102">
        <v>0</v>
      </c>
      <c r="O1102">
        <v>1</v>
      </c>
      <c r="P1102" t="s">
        <v>7</v>
      </c>
    </row>
    <row r="1103" spans="1:16">
      <c r="A1103" t="s">
        <v>1021</v>
      </c>
      <c r="B1103" t="s">
        <v>965</v>
      </c>
      <c r="C1103">
        <v>0</v>
      </c>
      <c r="E1103" t="s">
        <v>1023</v>
      </c>
      <c r="G1103" t="s">
        <v>961</v>
      </c>
      <c r="H1103">
        <v>0.66500000000000004</v>
      </c>
      <c r="J1103">
        <v>108295169</v>
      </c>
      <c r="K1103" s="2">
        <v>45967</v>
      </c>
      <c r="L1103">
        <v>21</v>
      </c>
      <c r="M1103">
        <v>1</v>
      </c>
      <c r="N1103">
        <v>7</v>
      </c>
      <c r="O1103">
        <v>2</v>
      </c>
      <c r="P1103" t="s">
        <v>7</v>
      </c>
    </row>
    <row r="1104" spans="1:16">
      <c r="A1104" t="s">
        <v>1021</v>
      </c>
      <c r="B1104" t="s">
        <v>965</v>
      </c>
      <c r="C1104">
        <v>2.8000000000000001E-2</v>
      </c>
      <c r="D1104" t="s">
        <v>762</v>
      </c>
      <c r="E1104" t="s">
        <v>979</v>
      </c>
      <c r="F1104" t="s">
        <v>979</v>
      </c>
      <c r="G1104" t="s">
        <v>961</v>
      </c>
      <c r="H1104">
        <v>1.6240000000000001</v>
      </c>
      <c r="J1104">
        <v>108189366</v>
      </c>
      <c r="K1104" s="2">
        <v>45871</v>
      </c>
      <c r="L1104">
        <v>21</v>
      </c>
      <c r="M1104">
        <v>2</v>
      </c>
      <c r="N1104">
        <v>1</v>
      </c>
      <c r="O1104">
        <v>1</v>
      </c>
      <c r="P1104" t="s">
        <v>7</v>
      </c>
    </row>
    <row r="1105" spans="1:16">
      <c r="A1105" t="s">
        <v>1021</v>
      </c>
      <c r="B1105" t="s">
        <v>965</v>
      </c>
      <c r="C1105">
        <v>0</v>
      </c>
      <c r="E1105" t="s">
        <v>1023</v>
      </c>
      <c r="F1105" t="s">
        <v>1037</v>
      </c>
      <c r="G1105" t="s">
        <v>961</v>
      </c>
      <c r="H1105">
        <v>0.66500000000000004</v>
      </c>
      <c r="J1105">
        <v>108153236</v>
      </c>
      <c r="K1105" s="2">
        <v>45833</v>
      </c>
      <c r="L1105">
        <v>30</v>
      </c>
      <c r="M1105">
        <v>1</v>
      </c>
      <c r="N1105">
        <v>7</v>
      </c>
      <c r="O1105">
        <v>1</v>
      </c>
      <c r="P1105" t="s">
        <v>3</v>
      </c>
    </row>
    <row r="1106" spans="1:16">
      <c r="A1106" t="s">
        <v>1021</v>
      </c>
      <c r="B1106" t="s">
        <v>968</v>
      </c>
      <c r="C1106">
        <v>0</v>
      </c>
      <c r="E1106" t="s">
        <v>965</v>
      </c>
      <c r="F1106" t="s">
        <v>986</v>
      </c>
      <c r="G1106" t="s">
        <v>968</v>
      </c>
      <c r="H1106">
        <v>7.75</v>
      </c>
      <c r="J1106">
        <v>108288216</v>
      </c>
      <c r="K1106" s="2">
        <v>45963</v>
      </c>
      <c r="L1106">
        <v>28</v>
      </c>
      <c r="M1106">
        <v>1</v>
      </c>
      <c r="N1106">
        <v>7</v>
      </c>
      <c r="O1106">
        <v>1</v>
      </c>
      <c r="P1106" t="s">
        <v>7</v>
      </c>
    </row>
    <row r="1107" spans="1:16">
      <c r="A1107" t="s">
        <v>1021</v>
      </c>
      <c r="B1107" t="s">
        <v>968</v>
      </c>
      <c r="C1107">
        <v>6.0000000000000001E-3</v>
      </c>
      <c r="D1107" t="s">
        <v>762</v>
      </c>
      <c r="E1107" t="s">
        <v>964</v>
      </c>
      <c r="F1107" t="s">
        <v>1072</v>
      </c>
      <c r="G1107" t="s">
        <v>968</v>
      </c>
      <c r="H1107">
        <v>8.1150000000000002</v>
      </c>
      <c r="J1107">
        <v>108295295</v>
      </c>
      <c r="K1107" s="2">
        <v>45966</v>
      </c>
      <c r="L1107">
        <v>28</v>
      </c>
      <c r="M1107">
        <v>1</v>
      </c>
      <c r="N1107">
        <v>12</v>
      </c>
      <c r="O1107">
        <v>1</v>
      </c>
      <c r="P1107" t="s">
        <v>7</v>
      </c>
    </row>
    <row r="1108" spans="1:16">
      <c r="A1108" t="s">
        <v>1021</v>
      </c>
      <c r="B1108" t="s">
        <v>965</v>
      </c>
      <c r="C1108">
        <v>7.3999999999999996E-2</v>
      </c>
      <c r="D1108" t="s">
        <v>756</v>
      </c>
      <c r="E1108" t="s">
        <v>1054</v>
      </c>
      <c r="F1108" t="s">
        <v>1032</v>
      </c>
      <c r="G1108" t="s">
        <v>961</v>
      </c>
      <c r="H1108">
        <v>1.7969999999999999</v>
      </c>
      <c r="J1108">
        <v>108215071</v>
      </c>
      <c r="K1108" s="2">
        <v>45897</v>
      </c>
      <c r="L1108">
        <v>30</v>
      </c>
      <c r="M1108">
        <v>1</v>
      </c>
      <c r="N1108">
        <v>4</v>
      </c>
      <c r="O1108">
        <v>1</v>
      </c>
      <c r="P1108" t="s">
        <v>7</v>
      </c>
    </row>
    <row r="1109" spans="1:16">
      <c r="A1109" t="s">
        <v>1021</v>
      </c>
      <c r="B1109" t="s">
        <v>965</v>
      </c>
      <c r="C1109">
        <v>5.1999999999999998E-2</v>
      </c>
      <c r="D1109" t="s">
        <v>756</v>
      </c>
      <c r="E1109" t="s">
        <v>1054</v>
      </c>
      <c r="F1109" t="s">
        <v>1032</v>
      </c>
      <c r="G1109" t="s">
        <v>961</v>
      </c>
      <c r="H1109">
        <v>1.7749999999999999</v>
      </c>
      <c r="J1109">
        <v>108192410</v>
      </c>
      <c r="K1109" s="2">
        <v>45873</v>
      </c>
      <c r="L1109">
        <v>21</v>
      </c>
      <c r="M1109">
        <v>1</v>
      </c>
      <c r="N1109">
        <v>0</v>
      </c>
      <c r="O1109">
        <v>1</v>
      </c>
      <c r="P1109" t="s">
        <v>7</v>
      </c>
    </row>
    <row r="1110" spans="1:16">
      <c r="A1110" t="s">
        <v>1021</v>
      </c>
      <c r="B1110" t="s">
        <v>965</v>
      </c>
      <c r="C1110">
        <v>1.9E-2</v>
      </c>
      <c r="D1110" t="s">
        <v>6</v>
      </c>
      <c r="E1110" t="s">
        <v>1042</v>
      </c>
      <c r="F1110" t="s">
        <v>1023</v>
      </c>
      <c r="G1110" t="s">
        <v>965</v>
      </c>
      <c r="H1110">
        <v>999.99900000000002</v>
      </c>
      <c r="J1110">
        <v>108287188</v>
      </c>
      <c r="K1110" s="2">
        <v>45961</v>
      </c>
      <c r="L1110">
        <v>30</v>
      </c>
      <c r="M1110">
        <v>1</v>
      </c>
      <c r="N1110">
        <v>0</v>
      </c>
      <c r="O1110">
        <v>1</v>
      </c>
      <c r="P1110" t="s">
        <v>7</v>
      </c>
    </row>
    <row r="1111" spans="1:16">
      <c r="A1111" t="s">
        <v>1021</v>
      </c>
      <c r="B1111" t="s">
        <v>965</v>
      </c>
      <c r="C1111">
        <v>1.9E-2</v>
      </c>
      <c r="D1111" t="s">
        <v>756</v>
      </c>
      <c r="E1111" t="s">
        <v>1032</v>
      </c>
      <c r="F1111" t="s">
        <v>1033</v>
      </c>
      <c r="G1111" t="s">
        <v>961</v>
      </c>
      <c r="H1111">
        <v>1.8620000000000001</v>
      </c>
      <c r="J1111">
        <v>108287189</v>
      </c>
      <c r="K1111" s="2">
        <v>45961</v>
      </c>
      <c r="L1111">
        <v>28</v>
      </c>
      <c r="M1111">
        <v>1</v>
      </c>
      <c r="N1111">
        <v>7</v>
      </c>
      <c r="O1111">
        <v>1</v>
      </c>
      <c r="P1111" t="s">
        <v>7</v>
      </c>
    </row>
    <row r="1112" spans="1:16">
      <c r="A1112" t="s">
        <v>1021</v>
      </c>
      <c r="B1112" t="s">
        <v>1187</v>
      </c>
      <c r="C1112">
        <v>1.9E-2</v>
      </c>
      <c r="D1112" t="s">
        <v>757</v>
      </c>
      <c r="E1112" t="s">
        <v>965</v>
      </c>
      <c r="F1112" t="s">
        <v>1051</v>
      </c>
      <c r="H1112">
        <v>999.99900000000002</v>
      </c>
      <c r="J1112">
        <v>108139378</v>
      </c>
      <c r="K1112" s="2">
        <v>45820</v>
      </c>
      <c r="L1112">
        <v>28</v>
      </c>
      <c r="M1112">
        <v>1</v>
      </c>
      <c r="N1112">
        <v>0</v>
      </c>
      <c r="O1112">
        <v>1</v>
      </c>
      <c r="P1112" t="s">
        <v>7</v>
      </c>
    </row>
    <row r="1113" spans="1:16">
      <c r="A1113" t="s">
        <v>1021</v>
      </c>
      <c r="B1113" t="s">
        <v>1022</v>
      </c>
      <c r="C1113">
        <v>0</v>
      </c>
      <c r="D1113" t="s">
        <v>757</v>
      </c>
      <c r="E1113" t="s">
        <v>965</v>
      </c>
      <c r="F1113" t="s">
        <v>967</v>
      </c>
      <c r="G1113" t="s">
        <v>961</v>
      </c>
      <c r="H1113">
        <v>0.21099999999999999</v>
      </c>
      <c r="J1113">
        <v>108301120</v>
      </c>
      <c r="K1113" s="2">
        <v>45971</v>
      </c>
      <c r="L1113">
        <v>20</v>
      </c>
      <c r="M1113">
        <v>1</v>
      </c>
      <c r="N1113">
        <v>0</v>
      </c>
      <c r="O1113">
        <v>1</v>
      </c>
      <c r="P1113" t="s">
        <v>7</v>
      </c>
    </row>
    <row r="1114" spans="1:16">
      <c r="A1114" t="s">
        <v>1021</v>
      </c>
      <c r="B1114" t="s">
        <v>1054</v>
      </c>
      <c r="C1114">
        <v>0</v>
      </c>
      <c r="E1114" t="s">
        <v>965</v>
      </c>
      <c r="F1114" t="s">
        <v>1040</v>
      </c>
      <c r="G1114" t="s">
        <v>961</v>
      </c>
      <c r="H1114">
        <v>1.7230000000000001</v>
      </c>
      <c r="J1114">
        <v>108260126</v>
      </c>
      <c r="K1114" s="2">
        <v>45940</v>
      </c>
      <c r="L1114">
        <v>30</v>
      </c>
      <c r="M1114">
        <v>1</v>
      </c>
      <c r="N1114">
        <v>8</v>
      </c>
      <c r="O1114">
        <v>1</v>
      </c>
      <c r="P1114" t="s">
        <v>7</v>
      </c>
    </row>
    <row r="1115" spans="1:16">
      <c r="A1115" t="s">
        <v>1021</v>
      </c>
      <c r="B1115" t="s">
        <v>965</v>
      </c>
      <c r="C1115">
        <v>1.9E-2</v>
      </c>
      <c r="D1115" t="s">
        <v>756</v>
      </c>
      <c r="E1115" t="s">
        <v>965</v>
      </c>
      <c r="F1115" t="s">
        <v>1032</v>
      </c>
      <c r="G1115" t="s">
        <v>965</v>
      </c>
      <c r="H1115">
        <v>999.99900000000002</v>
      </c>
      <c r="J1115">
        <v>108202207</v>
      </c>
      <c r="K1115" s="2">
        <v>45883</v>
      </c>
      <c r="L1115">
        <v>21</v>
      </c>
      <c r="M1115">
        <v>1</v>
      </c>
      <c r="N1115">
        <v>0</v>
      </c>
      <c r="O1115">
        <v>1</v>
      </c>
      <c r="P1115" t="s">
        <v>7</v>
      </c>
    </row>
    <row r="1116" spans="1:16">
      <c r="A1116" t="s">
        <v>1021</v>
      </c>
      <c r="B1116" t="s">
        <v>1188</v>
      </c>
      <c r="C1116">
        <v>1.9E-2</v>
      </c>
      <c r="D1116" t="s">
        <v>757</v>
      </c>
      <c r="E1116" t="s">
        <v>965</v>
      </c>
      <c r="F1116" t="s">
        <v>1018</v>
      </c>
      <c r="H1116">
        <v>999.99900000000002</v>
      </c>
      <c r="J1116">
        <v>108260003</v>
      </c>
      <c r="K1116" s="2">
        <v>45938</v>
      </c>
      <c r="L1116">
        <v>20</v>
      </c>
      <c r="M1116">
        <v>1</v>
      </c>
      <c r="N1116">
        <v>0</v>
      </c>
      <c r="O1116">
        <v>1</v>
      </c>
    </row>
    <row r="1117" spans="1:16">
      <c r="A1117" t="s">
        <v>1021</v>
      </c>
      <c r="B1117" t="s">
        <v>965</v>
      </c>
      <c r="C1117">
        <v>3.2000000000000001E-2</v>
      </c>
      <c r="D1117" t="s">
        <v>765</v>
      </c>
      <c r="E1117" t="s">
        <v>1054</v>
      </c>
      <c r="F1117" t="s">
        <v>979</v>
      </c>
      <c r="G1117" t="s">
        <v>961</v>
      </c>
      <c r="H1117">
        <v>1.6910000000000001</v>
      </c>
      <c r="J1117">
        <v>108226112</v>
      </c>
      <c r="K1117" s="2">
        <v>45910</v>
      </c>
      <c r="L1117">
        <v>28</v>
      </c>
      <c r="M1117">
        <v>1</v>
      </c>
      <c r="N1117">
        <v>0</v>
      </c>
      <c r="O1117">
        <v>2</v>
      </c>
      <c r="P1117" t="s">
        <v>7</v>
      </c>
    </row>
    <row r="1118" spans="1:16">
      <c r="A1118" t="s">
        <v>1021</v>
      </c>
      <c r="B1118" t="s">
        <v>965</v>
      </c>
      <c r="C1118">
        <v>7.5999999999999998E-2</v>
      </c>
      <c r="D1118" t="s">
        <v>762</v>
      </c>
      <c r="E1118" t="s">
        <v>979</v>
      </c>
      <c r="F1118" t="s">
        <v>1054</v>
      </c>
      <c r="G1118" t="s">
        <v>961</v>
      </c>
      <c r="H1118">
        <v>1.6719999999999999</v>
      </c>
      <c r="J1118">
        <v>108259953</v>
      </c>
      <c r="K1118" s="2">
        <v>45940</v>
      </c>
      <c r="L1118">
        <v>21</v>
      </c>
      <c r="M1118">
        <v>1</v>
      </c>
      <c r="N1118">
        <v>0</v>
      </c>
      <c r="O1118">
        <v>1</v>
      </c>
      <c r="P1118" t="s">
        <v>7</v>
      </c>
    </row>
    <row r="1119" spans="1:16">
      <c r="A1119" t="s">
        <v>1021</v>
      </c>
      <c r="B1119" t="s">
        <v>968</v>
      </c>
      <c r="C1119">
        <v>1.9E-2</v>
      </c>
      <c r="D1119" t="s">
        <v>765</v>
      </c>
      <c r="E1119" t="s">
        <v>964</v>
      </c>
      <c r="F1119" t="s">
        <v>965</v>
      </c>
      <c r="G1119" t="s">
        <v>968</v>
      </c>
      <c r="H1119">
        <v>8.14</v>
      </c>
      <c r="J1119">
        <v>108287186</v>
      </c>
      <c r="K1119" s="2">
        <v>45961</v>
      </c>
      <c r="L1119">
        <v>17</v>
      </c>
      <c r="M1119">
        <v>1</v>
      </c>
      <c r="N1119">
        <v>0</v>
      </c>
      <c r="O1119">
        <v>1</v>
      </c>
      <c r="P1119" t="s">
        <v>7</v>
      </c>
    </row>
    <row r="1120" spans="1:16">
      <c r="A1120" t="s">
        <v>1021</v>
      </c>
      <c r="B1120" t="s">
        <v>965</v>
      </c>
      <c r="C1120">
        <v>0</v>
      </c>
      <c r="E1120" t="s">
        <v>977</v>
      </c>
      <c r="F1120" t="s">
        <v>968</v>
      </c>
      <c r="G1120" t="s">
        <v>962</v>
      </c>
      <c r="H1120">
        <v>1.988</v>
      </c>
      <c r="J1120">
        <v>108252091</v>
      </c>
      <c r="K1120" s="2">
        <v>45934</v>
      </c>
      <c r="L1120">
        <v>17</v>
      </c>
      <c r="M1120">
        <v>1</v>
      </c>
      <c r="N1120">
        <v>8</v>
      </c>
      <c r="O1120">
        <v>1</v>
      </c>
      <c r="P1120" t="s">
        <v>7</v>
      </c>
    </row>
    <row r="1121" spans="1:19">
      <c r="A1121" t="s">
        <v>1021</v>
      </c>
      <c r="B1121" t="s">
        <v>965</v>
      </c>
      <c r="C1121">
        <v>4.7E-2</v>
      </c>
      <c r="D1121" t="s">
        <v>762</v>
      </c>
      <c r="E1121" t="s">
        <v>1054</v>
      </c>
      <c r="F1121" t="s">
        <v>1032</v>
      </c>
      <c r="G1121" t="s">
        <v>961</v>
      </c>
      <c r="H1121">
        <v>1.77</v>
      </c>
      <c r="J1121">
        <v>108092197</v>
      </c>
      <c r="K1121" s="2">
        <v>45775</v>
      </c>
      <c r="L1121">
        <v>24</v>
      </c>
      <c r="M1121">
        <v>1</v>
      </c>
      <c r="N1121">
        <v>0</v>
      </c>
      <c r="O1121">
        <v>1</v>
      </c>
      <c r="P1121" t="s">
        <v>3</v>
      </c>
    </row>
    <row r="1122" spans="1:19">
      <c r="A1122" t="s">
        <v>1021</v>
      </c>
      <c r="B1122" t="s">
        <v>1115</v>
      </c>
      <c r="C1122">
        <v>8.0000000000000002E-3</v>
      </c>
      <c r="D1122" t="s">
        <v>758</v>
      </c>
      <c r="E1122" t="s">
        <v>963</v>
      </c>
      <c r="F1122" t="s">
        <v>965</v>
      </c>
      <c r="H1122">
        <v>999.99900000000002</v>
      </c>
      <c r="J1122">
        <v>108329663</v>
      </c>
      <c r="K1122" s="2">
        <v>45996</v>
      </c>
      <c r="L1122">
        <v>20</v>
      </c>
      <c r="M1122">
        <v>2</v>
      </c>
      <c r="N1122">
        <v>0</v>
      </c>
      <c r="O1122">
        <v>1</v>
      </c>
      <c r="P1122" t="s">
        <v>7</v>
      </c>
    </row>
    <row r="1123" spans="1:19">
      <c r="A1123" t="s">
        <v>1021</v>
      </c>
      <c r="B1123" t="s">
        <v>965</v>
      </c>
      <c r="C1123">
        <v>0</v>
      </c>
      <c r="E1123" t="s">
        <v>1032</v>
      </c>
      <c r="F1123" t="s">
        <v>1033</v>
      </c>
      <c r="G1123" t="s">
        <v>961</v>
      </c>
      <c r="H1123">
        <v>1.843</v>
      </c>
      <c r="J1123">
        <v>108273805</v>
      </c>
      <c r="K1123" s="2">
        <v>45952</v>
      </c>
      <c r="L1123">
        <v>23</v>
      </c>
      <c r="M1123">
        <v>1</v>
      </c>
      <c r="N1123">
        <v>7</v>
      </c>
      <c r="O1123">
        <v>1</v>
      </c>
      <c r="P1123" t="s">
        <v>8</v>
      </c>
    </row>
    <row r="1124" spans="1:19">
      <c r="A1124" t="s">
        <v>1021</v>
      </c>
      <c r="B1124" t="s">
        <v>965</v>
      </c>
      <c r="C1124">
        <v>0</v>
      </c>
      <c r="D1124" t="s">
        <v>758</v>
      </c>
      <c r="E1124" t="s">
        <v>986</v>
      </c>
      <c r="F1124" t="s">
        <v>975</v>
      </c>
      <c r="H1124">
        <v>999.99900000000002</v>
      </c>
      <c r="J1124">
        <v>108247888</v>
      </c>
      <c r="K1124" s="2">
        <v>45929</v>
      </c>
      <c r="L1124">
        <v>28</v>
      </c>
      <c r="M1124">
        <v>2</v>
      </c>
      <c r="N1124">
        <v>0</v>
      </c>
      <c r="O1124">
        <v>1</v>
      </c>
      <c r="P1124" t="s">
        <v>7</v>
      </c>
    </row>
    <row r="1125" spans="1:19">
      <c r="A1125" t="s">
        <v>1021</v>
      </c>
      <c r="B1125" t="s">
        <v>967</v>
      </c>
      <c r="C1125">
        <v>1.9E-2</v>
      </c>
      <c r="D1125" t="s">
        <v>757</v>
      </c>
      <c r="E1125" t="s">
        <v>965</v>
      </c>
      <c r="F1125" t="s">
        <v>963</v>
      </c>
      <c r="G1125" t="s">
        <v>960</v>
      </c>
      <c r="H1125">
        <v>1.47</v>
      </c>
      <c r="J1125">
        <v>108278028</v>
      </c>
      <c r="K1125" s="2">
        <v>45955</v>
      </c>
      <c r="L1125">
        <v>30</v>
      </c>
      <c r="M1125">
        <v>1</v>
      </c>
      <c r="N1125">
        <v>0</v>
      </c>
      <c r="O1125">
        <v>4</v>
      </c>
      <c r="P1125" t="s">
        <v>7</v>
      </c>
    </row>
    <row r="1126" spans="1:19">
      <c r="A1126" t="s">
        <v>1021</v>
      </c>
      <c r="B1126" t="s">
        <v>965</v>
      </c>
      <c r="C1126">
        <v>0</v>
      </c>
      <c r="D1126" t="s">
        <v>6</v>
      </c>
      <c r="E1126" t="s">
        <v>1038</v>
      </c>
      <c r="F1126" t="s">
        <v>1056</v>
      </c>
      <c r="G1126" t="s">
        <v>965</v>
      </c>
      <c r="H1126">
        <v>999.99900000000002</v>
      </c>
      <c r="J1126">
        <v>108326930</v>
      </c>
      <c r="K1126" s="2">
        <v>45993</v>
      </c>
      <c r="L1126">
        <v>30</v>
      </c>
      <c r="M1126">
        <v>2</v>
      </c>
      <c r="N1126">
        <v>8</v>
      </c>
      <c r="O1126">
        <v>1</v>
      </c>
      <c r="P1126" t="s">
        <v>7</v>
      </c>
    </row>
    <row r="1127" spans="1:19">
      <c r="A1127" t="s">
        <v>1021</v>
      </c>
      <c r="B1127" t="s">
        <v>968</v>
      </c>
      <c r="C1127">
        <v>0</v>
      </c>
      <c r="E1127" t="s">
        <v>964</v>
      </c>
      <c r="F1127" t="s">
        <v>985</v>
      </c>
      <c r="G1127" t="s">
        <v>968</v>
      </c>
      <c r="H1127">
        <v>8.1210000000000004</v>
      </c>
      <c r="J1127">
        <v>108033754</v>
      </c>
      <c r="K1127" s="2">
        <v>45716</v>
      </c>
      <c r="L1127">
        <v>30</v>
      </c>
      <c r="M1127">
        <v>1</v>
      </c>
      <c r="N1127">
        <v>7</v>
      </c>
      <c r="O1127">
        <v>1</v>
      </c>
      <c r="P1127" t="s">
        <v>3</v>
      </c>
    </row>
    <row r="1128" spans="1:19">
      <c r="A1128" t="s">
        <v>1021</v>
      </c>
      <c r="B1128" t="s">
        <v>965</v>
      </c>
      <c r="C1128">
        <v>0</v>
      </c>
      <c r="E1128" t="s">
        <v>1189</v>
      </c>
      <c r="F1128" t="s">
        <v>1032</v>
      </c>
      <c r="H1128">
        <v>999.99900000000002</v>
      </c>
      <c r="J1128">
        <v>108334357</v>
      </c>
      <c r="K1128" s="2">
        <v>46003</v>
      </c>
      <c r="L1128">
        <v>15</v>
      </c>
      <c r="M1128">
        <v>1</v>
      </c>
      <c r="N1128">
        <v>8</v>
      </c>
      <c r="O1128">
        <v>1</v>
      </c>
      <c r="P1128" t="s">
        <v>3</v>
      </c>
      <c r="Q1128">
        <v>35.169499999999999</v>
      </c>
      <c r="R1128">
        <v>-79.404360999999994</v>
      </c>
      <c r="S1128" t="s">
        <v>1060</v>
      </c>
    </row>
    <row r="1129" spans="1:19">
      <c r="A1129" t="s">
        <v>1021</v>
      </c>
      <c r="B1129" t="s">
        <v>965</v>
      </c>
      <c r="C1129">
        <v>4.0000000000000001E-3</v>
      </c>
      <c r="D1129" t="s">
        <v>762</v>
      </c>
      <c r="E1129" t="s">
        <v>1097</v>
      </c>
      <c r="F1129" t="s">
        <v>995</v>
      </c>
      <c r="G1129" t="s">
        <v>1063</v>
      </c>
      <c r="H1129">
        <v>0.16800000000000001</v>
      </c>
      <c r="J1129">
        <v>108315871</v>
      </c>
      <c r="K1129" s="2">
        <v>45983</v>
      </c>
      <c r="L1129">
        <v>1</v>
      </c>
      <c r="M1129">
        <v>1</v>
      </c>
      <c r="N1129">
        <v>0</v>
      </c>
      <c r="O1129">
        <v>2</v>
      </c>
      <c r="P1129" t="s">
        <v>3</v>
      </c>
    </row>
    <row r="1130" spans="1:19">
      <c r="A1130" t="s">
        <v>1021</v>
      </c>
      <c r="B1130" t="s">
        <v>965</v>
      </c>
      <c r="C1130">
        <v>1E-3</v>
      </c>
      <c r="D1130" t="s">
        <v>758</v>
      </c>
      <c r="E1130" t="s">
        <v>1097</v>
      </c>
      <c r="F1130" t="s">
        <v>1026</v>
      </c>
      <c r="G1130" t="s">
        <v>1063</v>
      </c>
      <c r="H1130">
        <v>0.16300000000000001</v>
      </c>
      <c r="J1130">
        <v>108285263</v>
      </c>
      <c r="K1130" s="2">
        <v>45959</v>
      </c>
      <c r="L1130">
        <v>24</v>
      </c>
      <c r="M1130">
        <v>2</v>
      </c>
      <c r="N1130">
        <v>12</v>
      </c>
      <c r="O1130">
        <v>5</v>
      </c>
      <c r="P1130" t="s">
        <v>7</v>
      </c>
    </row>
    <row r="1131" spans="1:19">
      <c r="A1131" t="s">
        <v>1021</v>
      </c>
      <c r="B1131" t="s">
        <v>965</v>
      </c>
      <c r="C1131">
        <v>0</v>
      </c>
      <c r="E1131" t="s">
        <v>1035</v>
      </c>
      <c r="F1131" t="s">
        <v>1098</v>
      </c>
      <c r="G1131" t="s">
        <v>961</v>
      </c>
      <c r="H1131">
        <v>1.893</v>
      </c>
      <c r="J1131">
        <v>108329713</v>
      </c>
      <c r="K1131" s="2">
        <v>45996</v>
      </c>
      <c r="L1131">
        <v>21</v>
      </c>
      <c r="M1131">
        <v>2</v>
      </c>
      <c r="N1131">
        <v>7</v>
      </c>
      <c r="O1131">
        <v>1</v>
      </c>
      <c r="P1131" t="s">
        <v>3</v>
      </c>
    </row>
    <row r="1132" spans="1:19">
      <c r="A1132" t="s">
        <v>754</v>
      </c>
      <c r="B1132" t="s">
        <v>962</v>
      </c>
      <c r="C1132">
        <v>4.9000000000000002E-2</v>
      </c>
      <c r="D1132" t="s">
        <v>758</v>
      </c>
      <c r="E1132" t="s">
        <v>977</v>
      </c>
      <c r="F1132" t="s">
        <v>1166</v>
      </c>
      <c r="G1132" t="s">
        <v>962</v>
      </c>
      <c r="H1132">
        <v>1.9390000000000001</v>
      </c>
      <c r="J1132">
        <v>108248343</v>
      </c>
      <c r="K1132" s="2">
        <v>45929</v>
      </c>
      <c r="L1132">
        <v>21</v>
      </c>
      <c r="M1132">
        <v>2</v>
      </c>
      <c r="N1132">
        <v>0</v>
      </c>
      <c r="O1132">
        <v>1</v>
      </c>
      <c r="P1132" t="s">
        <v>3</v>
      </c>
      <c r="Q1132">
        <v>35.176949999999998</v>
      </c>
      <c r="R1132">
        <v>-79.435969999999998</v>
      </c>
      <c r="S1132" t="s">
        <v>761</v>
      </c>
    </row>
    <row r="1133" spans="1:19">
      <c r="A1133" t="s">
        <v>1021</v>
      </c>
      <c r="B1133" t="s">
        <v>965</v>
      </c>
      <c r="C1133">
        <v>0</v>
      </c>
      <c r="E1133" t="s">
        <v>1032</v>
      </c>
      <c r="F1133" t="s">
        <v>1054</v>
      </c>
      <c r="G1133" t="s">
        <v>961</v>
      </c>
      <c r="H1133">
        <v>1.843</v>
      </c>
      <c r="J1133">
        <v>108249614</v>
      </c>
      <c r="K1133" s="2">
        <v>45931</v>
      </c>
      <c r="L1133">
        <v>30</v>
      </c>
      <c r="M1133">
        <v>1</v>
      </c>
      <c r="N1133">
        <v>7</v>
      </c>
      <c r="O1133">
        <v>1</v>
      </c>
      <c r="P1133" t="s">
        <v>7</v>
      </c>
    </row>
    <row r="1134" spans="1:19">
      <c r="A1134" t="s">
        <v>1021</v>
      </c>
      <c r="B1134" t="s">
        <v>965</v>
      </c>
      <c r="C1134">
        <v>2.8000000000000001E-2</v>
      </c>
      <c r="D1134" t="s">
        <v>756</v>
      </c>
      <c r="E1134" t="s">
        <v>1020</v>
      </c>
      <c r="F1134" t="s">
        <v>1023</v>
      </c>
      <c r="G1134" t="s">
        <v>961</v>
      </c>
      <c r="H1134">
        <v>0.36799999999999999</v>
      </c>
      <c r="J1134">
        <v>108315433</v>
      </c>
      <c r="K1134" s="2">
        <v>45983</v>
      </c>
      <c r="L1134">
        <v>17</v>
      </c>
      <c r="M1134">
        <v>1</v>
      </c>
      <c r="N1134">
        <v>0</v>
      </c>
      <c r="O1134">
        <v>4</v>
      </c>
      <c r="P1134" t="s">
        <v>7</v>
      </c>
    </row>
    <row r="1135" spans="1:19">
      <c r="A1135" t="s">
        <v>1021</v>
      </c>
      <c r="B1135" t="s">
        <v>1042</v>
      </c>
      <c r="C1135">
        <v>0</v>
      </c>
      <c r="E1135" t="s">
        <v>965</v>
      </c>
      <c r="F1135" t="s">
        <v>1023</v>
      </c>
      <c r="G1135" t="s">
        <v>965</v>
      </c>
      <c r="H1135">
        <v>999.99900000000002</v>
      </c>
      <c r="J1135">
        <v>108310444</v>
      </c>
      <c r="K1135" s="2">
        <v>45978</v>
      </c>
      <c r="L1135">
        <v>30</v>
      </c>
      <c r="M1135">
        <v>1</v>
      </c>
      <c r="N1135">
        <v>8</v>
      </c>
      <c r="O1135">
        <v>1</v>
      </c>
      <c r="P1135" t="s">
        <v>7</v>
      </c>
    </row>
    <row r="1136" spans="1:19">
      <c r="A1136" t="s">
        <v>1021</v>
      </c>
      <c r="B1136" t="s">
        <v>1062</v>
      </c>
      <c r="C1136">
        <v>0</v>
      </c>
      <c r="E1136" t="s">
        <v>965</v>
      </c>
      <c r="F1136" t="s">
        <v>1061</v>
      </c>
      <c r="G1136" t="s">
        <v>1091</v>
      </c>
      <c r="H1136">
        <v>0.38800000000000001</v>
      </c>
      <c r="J1136">
        <v>108328839</v>
      </c>
      <c r="K1136" s="2">
        <v>45995</v>
      </c>
      <c r="L1136">
        <v>28</v>
      </c>
      <c r="M1136">
        <v>1</v>
      </c>
      <c r="N1136">
        <v>7</v>
      </c>
      <c r="O1136">
        <v>1</v>
      </c>
      <c r="P1136" t="s">
        <v>3</v>
      </c>
    </row>
    <row r="1137" spans="1:16">
      <c r="A1137" t="s">
        <v>1021</v>
      </c>
      <c r="B1137" t="s">
        <v>965</v>
      </c>
      <c r="C1137">
        <v>8.9999999999999993E-3</v>
      </c>
      <c r="D1137" t="s">
        <v>764</v>
      </c>
      <c r="E1137" t="s">
        <v>968</v>
      </c>
      <c r="F1137" t="s">
        <v>1190</v>
      </c>
      <c r="G1137" t="s">
        <v>962</v>
      </c>
      <c r="H1137">
        <v>2.1829999999999998</v>
      </c>
      <c r="J1137">
        <v>108273803</v>
      </c>
      <c r="K1137" s="2">
        <v>45952</v>
      </c>
      <c r="L1137">
        <v>21</v>
      </c>
      <c r="M1137">
        <v>1</v>
      </c>
      <c r="N1137">
        <v>12</v>
      </c>
      <c r="O1137">
        <v>1</v>
      </c>
      <c r="P1137" t="s">
        <v>7</v>
      </c>
    </row>
    <row r="1138" spans="1:16">
      <c r="A1138" t="s">
        <v>1021</v>
      </c>
      <c r="B1138" t="s">
        <v>967</v>
      </c>
      <c r="C1138">
        <v>1.4E-2</v>
      </c>
      <c r="D1138" t="s">
        <v>757</v>
      </c>
      <c r="E1138" t="s">
        <v>965</v>
      </c>
      <c r="F1138" t="s">
        <v>1191</v>
      </c>
      <c r="G1138" t="s">
        <v>960</v>
      </c>
      <c r="H1138">
        <v>1.4750000000000001</v>
      </c>
      <c r="J1138">
        <v>108264224</v>
      </c>
      <c r="K1138" s="2">
        <v>45942</v>
      </c>
      <c r="L1138">
        <v>27</v>
      </c>
      <c r="M1138">
        <v>2</v>
      </c>
      <c r="N1138">
        <v>12</v>
      </c>
      <c r="O1138">
        <v>1</v>
      </c>
      <c r="P1138" t="s">
        <v>3</v>
      </c>
    </row>
    <row r="1139" spans="1:16">
      <c r="A1139" t="s">
        <v>1021</v>
      </c>
      <c r="B1139" t="s">
        <v>965</v>
      </c>
      <c r="C1139">
        <v>2.1000000000000001E-2</v>
      </c>
      <c r="D1139" t="s">
        <v>762</v>
      </c>
      <c r="E1139" t="s">
        <v>1038</v>
      </c>
      <c r="F1139" t="s">
        <v>1056</v>
      </c>
      <c r="G1139" t="s">
        <v>965</v>
      </c>
      <c r="H1139">
        <v>999.99900000000002</v>
      </c>
      <c r="J1139">
        <v>108052981</v>
      </c>
      <c r="K1139" s="2">
        <v>45736</v>
      </c>
      <c r="L1139">
        <v>21</v>
      </c>
      <c r="M1139">
        <v>2</v>
      </c>
      <c r="N1139">
        <v>0</v>
      </c>
      <c r="O1139">
        <v>1</v>
      </c>
      <c r="P1139" t="s">
        <v>3</v>
      </c>
    </row>
    <row r="1140" spans="1:16">
      <c r="A1140" t="s">
        <v>1021</v>
      </c>
      <c r="B1140" t="s">
        <v>965</v>
      </c>
      <c r="C1140">
        <v>8.5000000000000006E-2</v>
      </c>
      <c r="D1140" t="s">
        <v>758</v>
      </c>
      <c r="E1140" t="s">
        <v>1056</v>
      </c>
      <c r="F1140" t="s">
        <v>1039</v>
      </c>
      <c r="G1140" t="s">
        <v>961</v>
      </c>
      <c r="H1140">
        <v>1.1919999999999999</v>
      </c>
      <c r="J1140">
        <v>108266389</v>
      </c>
      <c r="K1140" s="2">
        <v>45946</v>
      </c>
      <c r="L1140">
        <v>21</v>
      </c>
      <c r="M1140">
        <v>1</v>
      </c>
      <c r="N1140">
        <v>0</v>
      </c>
      <c r="O1140">
        <v>1</v>
      </c>
      <c r="P1140" t="s">
        <v>7</v>
      </c>
    </row>
    <row r="1141" spans="1:16">
      <c r="A1141" t="s">
        <v>1021</v>
      </c>
      <c r="B1141" t="s">
        <v>965</v>
      </c>
      <c r="C1141">
        <v>1.9E-2</v>
      </c>
      <c r="D1141" t="s">
        <v>762</v>
      </c>
      <c r="E1141" t="s">
        <v>1056</v>
      </c>
      <c r="F1141" t="s">
        <v>1064</v>
      </c>
      <c r="G1141" t="s">
        <v>961</v>
      </c>
      <c r="H1141">
        <v>1.296</v>
      </c>
      <c r="J1141">
        <v>108305050</v>
      </c>
      <c r="K1141" s="2">
        <v>45974</v>
      </c>
      <c r="L1141">
        <v>21</v>
      </c>
      <c r="M1141">
        <v>1</v>
      </c>
      <c r="N1141">
        <v>0</v>
      </c>
      <c r="O1141">
        <v>1</v>
      </c>
      <c r="P1141" t="s">
        <v>7</v>
      </c>
    </row>
    <row r="1142" spans="1:16">
      <c r="A1142" t="s">
        <v>1021</v>
      </c>
      <c r="B1142" t="s">
        <v>968</v>
      </c>
      <c r="C1142">
        <v>0</v>
      </c>
      <c r="E1142" t="s">
        <v>964</v>
      </c>
      <c r="F1142" t="s">
        <v>1085</v>
      </c>
      <c r="G1142" t="s">
        <v>968</v>
      </c>
      <c r="H1142">
        <v>8.1210000000000004</v>
      </c>
      <c r="J1142">
        <v>108203575</v>
      </c>
      <c r="K1142" s="2">
        <v>45886</v>
      </c>
      <c r="L1142">
        <v>21</v>
      </c>
      <c r="M1142">
        <v>1</v>
      </c>
      <c r="N1142">
        <v>7</v>
      </c>
      <c r="O1142">
        <v>1</v>
      </c>
      <c r="P1142" t="s">
        <v>7</v>
      </c>
    </row>
    <row r="1143" spans="1:16">
      <c r="A1143" t="s">
        <v>1021</v>
      </c>
      <c r="B1143" t="s">
        <v>1022</v>
      </c>
      <c r="C1143">
        <v>0</v>
      </c>
      <c r="E1143" t="s">
        <v>965</v>
      </c>
      <c r="G1143" t="s">
        <v>961</v>
      </c>
      <c r="H1143">
        <v>0.21099999999999999</v>
      </c>
      <c r="J1143">
        <v>108243989</v>
      </c>
      <c r="K1143" s="2">
        <v>45926</v>
      </c>
      <c r="L1143">
        <v>21</v>
      </c>
      <c r="M1143">
        <v>1</v>
      </c>
      <c r="N1143">
        <v>0</v>
      </c>
      <c r="O1143">
        <v>1</v>
      </c>
      <c r="P1143" t="s">
        <v>7</v>
      </c>
    </row>
    <row r="1144" spans="1:16">
      <c r="A1144" t="s">
        <v>1021</v>
      </c>
      <c r="B1144" t="s">
        <v>968</v>
      </c>
      <c r="C1144">
        <v>6.0000000000000001E-3</v>
      </c>
      <c r="D1144" t="s">
        <v>758</v>
      </c>
      <c r="E1144" t="s">
        <v>965</v>
      </c>
      <c r="F1144" t="s">
        <v>977</v>
      </c>
      <c r="G1144" t="s">
        <v>968</v>
      </c>
      <c r="H1144">
        <v>7.7560000000000002</v>
      </c>
      <c r="J1144">
        <v>108377443</v>
      </c>
      <c r="K1144" s="2">
        <v>46041</v>
      </c>
      <c r="L1144">
        <v>30</v>
      </c>
      <c r="M1144">
        <v>1</v>
      </c>
      <c r="N1144">
        <v>0</v>
      </c>
      <c r="O1144">
        <v>4</v>
      </c>
      <c r="P1144" t="s">
        <v>7</v>
      </c>
    </row>
    <row r="1145" spans="1:16">
      <c r="A1145" t="s">
        <v>1021</v>
      </c>
      <c r="B1145" t="s">
        <v>968</v>
      </c>
      <c r="C1145">
        <v>0</v>
      </c>
      <c r="E1145" t="s">
        <v>965</v>
      </c>
      <c r="F1145" t="s">
        <v>1192</v>
      </c>
      <c r="G1145" t="s">
        <v>968</v>
      </c>
      <c r="H1145">
        <v>7.75</v>
      </c>
      <c r="J1145">
        <v>108268613</v>
      </c>
      <c r="K1145" s="2">
        <v>45947</v>
      </c>
      <c r="L1145">
        <v>21</v>
      </c>
      <c r="M1145">
        <v>1</v>
      </c>
      <c r="N1145">
        <v>11</v>
      </c>
      <c r="O1145">
        <v>1</v>
      </c>
      <c r="P1145" t="s">
        <v>7</v>
      </c>
    </row>
    <row r="1146" spans="1:16">
      <c r="A1146" t="s">
        <v>1021</v>
      </c>
      <c r="B1146" t="s">
        <v>965</v>
      </c>
      <c r="C1146">
        <v>7.0000000000000007E-2</v>
      </c>
      <c r="D1146" t="s">
        <v>765</v>
      </c>
      <c r="E1146" t="s">
        <v>1193</v>
      </c>
      <c r="F1146" t="s">
        <v>1032</v>
      </c>
      <c r="H1146">
        <v>999.99900000000002</v>
      </c>
      <c r="J1146">
        <v>108241242</v>
      </c>
      <c r="K1146" s="2">
        <v>45922</v>
      </c>
      <c r="L1146">
        <v>30</v>
      </c>
      <c r="M1146">
        <v>1</v>
      </c>
      <c r="N1146">
        <v>7</v>
      </c>
      <c r="O1146">
        <v>1</v>
      </c>
      <c r="P1146" t="s">
        <v>7</v>
      </c>
    </row>
    <row r="1147" spans="1:16">
      <c r="A1147" t="s">
        <v>1021</v>
      </c>
      <c r="B1147" t="s">
        <v>965</v>
      </c>
      <c r="C1147">
        <v>1.6E-2</v>
      </c>
      <c r="D1147" t="s">
        <v>765</v>
      </c>
      <c r="E1147" t="s">
        <v>1032</v>
      </c>
      <c r="F1147" t="s">
        <v>1054</v>
      </c>
      <c r="G1147" t="s">
        <v>961</v>
      </c>
      <c r="H1147">
        <v>1.827</v>
      </c>
      <c r="J1147">
        <v>108245396</v>
      </c>
      <c r="K1147" s="2">
        <v>45927</v>
      </c>
      <c r="L1147">
        <v>30</v>
      </c>
      <c r="M1147">
        <v>1</v>
      </c>
      <c r="N1147">
        <v>7</v>
      </c>
      <c r="O1147">
        <v>1</v>
      </c>
      <c r="P1147" t="s">
        <v>7</v>
      </c>
    </row>
    <row r="1148" spans="1:16">
      <c r="A1148" t="s">
        <v>1021</v>
      </c>
      <c r="B1148" t="s">
        <v>965</v>
      </c>
      <c r="C1148">
        <v>1.4999999999999999E-2</v>
      </c>
      <c r="D1148" t="s">
        <v>765</v>
      </c>
      <c r="E1148" t="s">
        <v>1020</v>
      </c>
      <c r="F1148" t="s">
        <v>967</v>
      </c>
      <c r="G1148" t="s">
        <v>961</v>
      </c>
      <c r="H1148">
        <v>0.32500000000000001</v>
      </c>
      <c r="J1148">
        <v>108306192</v>
      </c>
      <c r="K1148" s="2">
        <v>45975</v>
      </c>
      <c r="L1148">
        <v>21</v>
      </c>
      <c r="M1148">
        <v>1</v>
      </c>
      <c r="N1148">
        <v>0</v>
      </c>
      <c r="O1148">
        <v>1</v>
      </c>
      <c r="P1148" t="s">
        <v>7</v>
      </c>
    </row>
    <row r="1149" spans="1:16">
      <c r="A1149" t="s">
        <v>1021</v>
      </c>
      <c r="B1149" t="s">
        <v>965</v>
      </c>
      <c r="C1149">
        <v>3.7999999999999999E-2</v>
      </c>
      <c r="D1149" t="s">
        <v>756</v>
      </c>
      <c r="E1149" t="s">
        <v>1054</v>
      </c>
      <c r="F1149" t="s">
        <v>1032</v>
      </c>
      <c r="G1149" t="s">
        <v>961</v>
      </c>
      <c r="H1149">
        <v>1.7609999999999999</v>
      </c>
      <c r="J1149">
        <v>108373250</v>
      </c>
      <c r="K1149" s="2">
        <v>46038</v>
      </c>
      <c r="L1149">
        <v>30</v>
      </c>
      <c r="M1149">
        <v>1</v>
      </c>
      <c r="N1149">
        <v>0</v>
      </c>
      <c r="O1149">
        <v>1</v>
      </c>
      <c r="P1149" t="s">
        <v>3</v>
      </c>
    </row>
    <row r="1150" spans="1:16">
      <c r="A1150" t="s">
        <v>1021</v>
      </c>
      <c r="B1150" t="s">
        <v>965</v>
      </c>
      <c r="C1150">
        <v>0</v>
      </c>
      <c r="E1150" t="s">
        <v>968</v>
      </c>
      <c r="F1150" t="s">
        <v>967</v>
      </c>
      <c r="G1150" t="s">
        <v>962</v>
      </c>
      <c r="H1150">
        <v>2.1920000000000002</v>
      </c>
      <c r="J1150">
        <v>108258243</v>
      </c>
      <c r="K1150" s="2">
        <v>45939</v>
      </c>
      <c r="L1150">
        <v>21</v>
      </c>
      <c r="M1150">
        <v>1</v>
      </c>
      <c r="N1150">
        <v>7</v>
      </c>
      <c r="O1150">
        <v>3</v>
      </c>
      <c r="P1150" t="s">
        <v>7</v>
      </c>
    </row>
    <row r="1151" spans="1:16">
      <c r="A1151" t="s">
        <v>1021</v>
      </c>
      <c r="B1151" t="s">
        <v>1167</v>
      </c>
      <c r="C1151">
        <v>4.0000000000000001E-3</v>
      </c>
      <c r="D1151" t="s">
        <v>765</v>
      </c>
      <c r="E1151" t="s">
        <v>963</v>
      </c>
      <c r="F1151" t="s">
        <v>965</v>
      </c>
      <c r="H1151">
        <v>999.99900000000002</v>
      </c>
      <c r="J1151">
        <v>108241568</v>
      </c>
      <c r="K1151" s="2">
        <v>45924</v>
      </c>
      <c r="L1151">
        <v>20</v>
      </c>
      <c r="M1151">
        <v>1</v>
      </c>
      <c r="N1151">
        <v>0</v>
      </c>
      <c r="O1151">
        <v>1</v>
      </c>
    </row>
    <row r="1152" spans="1:16">
      <c r="A1152" t="s">
        <v>1021</v>
      </c>
      <c r="B1152" t="s">
        <v>965</v>
      </c>
      <c r="C1152">
        <v>0</v>
      </c>
      <c r="E1152" t="s">
        <v>979</v>
      </c>
      <c r="F1152" t="s">
        <v>1052</v>
      </c>
      <c r="G1152" t="s">
        <v>961</v>
      </c>
      <c r="H1152">
        <v>1.5960000000000001</v>
      </c>
      <c r="J1152">
        <v>108304197</v>
      </c>
      <c r="K1152" s="2">
        <v>45973</v>
      </c>
      <c r="L1152">
        <v>30</v>
      </c>
      <c r="M1152">
        <v>1</v>
      </c>
      <c r="N1152">
        <v>8</v>
      </c>
      <c r="O1152">
        <v>4</v>
      </c>
      <c r="P1152" t="s">
        <v>7</v>
      </c>
    </row>
    <row r="1153" spans="1:19">
      <c r="A1153" t="s">
        <v>754</v>
      </c>
      <c r="B1153" t="s">
        <v>962</v>
      </c>
      <c r="C1153">
        <v>0</v>
      </c>
      <c r="E1153" t="s">
        <v>1022</v>
      </c>
      <c r="F1153" t="s">
        <v>968</v>
      </c>
      <c r="G1153" t="s">
        <v>962</v>
      </c>
      <c r="H1153">
        <v>999.99900000000002</v>
      </c>
      <c r="J1153">
        <v>108470825</v>
      </c>
      <c r="K1153" s="2">
        <v>46125</v>
      </c>
      <c r="L1153">
        <v>26</v>
      </c>
      <c r="M1153">
        <v>1</v>
      </c>
      <c r="N1153">
        <v>8</v>
      </c>
      <c r="O1153">
        <v>1</v>
      </c>
      <c r="P1153" t="s">
        <v>7</v>
      </c>
      <c r="Q1153">
        <v>35.178049999999999</v>
      </c>
      <c r="R1153">
        <v>-79.429919999999996</v>
      </c>
      <c r="S1153" t="s">
        <v>755</v>
      </c>
    </row>
    <row r="1154" spans="1:19">
      <c r="A1154" t="s">
        <v>1021</v>
      </c>
      <c r="B1154" t="s">
        <v>964</v>
      </c>
      <c r="C1154">
        <v>3.7999999999999999E-2</v>
      </c>
      <c r="D1154" t="s">
        <v>756</v>
      </c>
      <c r="E1154" t="s">
        <v>968</v>
      </c>
      <c r="F1154" t="s">
        <v>985</v>
      </c>
      <c r="G1154" t="s">
        <v>960</v>
      </c>
      <c r="H1154">
        <v>3.7999999999999999E-2</v>
      </c>
      <c r="J1154">
        <v>108385753</v>
      </c>
      <c r="K1154" s="2">
        <v>46051</v>
      </c>
      <c r="L1154">
        <v>21</v>
      </c>
      <c r="M1154">
        <v>1</v>
      </c>
      <c r="N1154">
        <v>0</v>
      </c>
      <c r="O1154">
        <v>5</v>
      </c>
      <c r="P1154" t="s">
        <v>7</v>
      </c>
    </row>
    <row r="1155" spans="1:19">
      <c r="A1155" t="s">
        <v>1021</v>
      </c>
      <c r="B1155" t="s">
        <v>964</v>
      </c>
      <c r="C1155">
        <v>2.1999999999999999E-2</v>
      </c>
      <c r="D1155" t="s">
        <v>763</v>
      </c>
      <c r="E1155" t="s">
        <v>966</v>
      </c>
      <c r="F1155" t="s">
        <v>968</v>
      </c>
      <c r="G1155" t="s">
        <v>960</v>
      </c>
      <c r="H1155">
        <v>0.70499999999999996</v>
      </c>
      <c r="J1155">
        <v>108390439</v>
      </c>
      <c r="K1155" s="2">
        <v>46056</v>
      </c>
      <c r="L1155">
        <v>19</v>
      </c>
      <c r="M1155">
        <v>5</v>
      </c>
      <c r="N1155">
        <v>10</v>
      </c>
      <c r="O1155">
        <v>1</v>
      </c>
    </row>
    <row r="1156" spans="1:19">
      <c r="A1156" t="s">
        <v>1021</v>
      </c>
      <c r="B1156" t="s">
        <v>965</v>
      </c>
      <c r="C1156">
        <v>0</v>
      </c>
      <c r="E1156" t="s">
        <v>1056</v>
      </c>
      <c r="F1156" t="s">
        <v>1064</v>
      </c>
      <c r="G1156" t="s">
        <v>961</v>
      </c>
      <c r="H1156">
        <v>1.2769999999999999</v>
      </c>
      <c r="J1156">
        <v>108383969</v>
      </c>
      <c r="K1156" s="2">
        <v>46049</v>
      </c>
      <c r="L1156">
        <v>21</v>
      </c>
      <c r="M1156">
        <v>1</v>
      </c>
      <c r="N1156">
        <v>8</v>
      </c>
      <c r="O1156">
        <v>1</v>
      </c>
      <c r="P1156" t="s">
        <v>7</v>
      </c>
    </row>
    <row r="1157" spans="1:19">
      <c r="A1157" t="s">
        <v>1021</v>
      </c>
      <c r="B1157" t="s">
        <v>965</v>
      </c>
      <c r="C1157">
        <v>4.1000000000000002E-2</v>
      </c>
      <c r="D1157" t="s">
        <v>765</v>
      </c>
      <c r="E1157" t="s">
        <v>1032</v>
      </c>
      <c r="F1157" t="s">
        <v>1054</v>
      </c>
      <c r="G1157" t="s">
        <v>961</v>
      </c>
      <c r="H1157">
        <v>1.802</v>
      </c>
      <c r="J1157">
        <v>108466071</v>
      </c>
      <c r="K1157" s="2">
        <v>46127</v>
      </c>
      <c r="L1157">
        <v>30</v>
      </c>
      <c r="M1157">
        <v>1</v>
      </c>
      <c r="N1157">
        <v>0</v>
      </c>
      <c r="O1157">
        <v>1</v>
      </c>
      <c r="P1157" t="s">
        <v>3</v>
      </c>
    </row>
    <row r="1158" spans="1:19">
      <c r="A1158" t="s">
        <v>754</v>
      </c>
      <c r="B1158" t="s">
        <v>962</v>
      </c>
      <c r="C1158">
        <v>1.4999999999999999E-2</v>
      </c>
      <c r="D1158" t="s">
        <v>756</v>
      </c>
      <c r="E1158" t="s">
        <v>968</v>
      </c>
      <c r="F1158" t="s">
        <v>963</v>
      </c>
      <c r="G1158" t="s">
        <v>962</v>
      </c>
      <c r="H1158">
        <v>2.1920000000000002</v>
      </c>
      <c r="J1158">
        <v>108469044</v>
      </c>
      <c r="K1158" s="2">
        <v>46125</v>
      </c>
      <c r="L1158">
        <v>21</v>
      </c>
      <c r="M1158">
        <v>1</v>
      </c>
      <c r="N1158">
        <v>0</v>
      </c>
      <c r="O1158">
        <v>1</v>
      </c>
      <c r="P1158" t="s">
        <v>3</v>
      </c>
      <c r="Q1158">
        <v>35.178370000000001</v>
      </c>
      <c r="R1158">
        <v>-79.431489999999997</v>
      </c>
      <c r="S1158" t="s">
        <v>755</v>
      </c>
    </row>
    <row r="1159" spans="1:19">
      <c r="A1159" t="s">
        <v>1021</v>
      </c>
      <c r="B1159" t="s">
        <v>1099</v>
      </c>
      <c r="C1159">
        <v>0</v>
      </c>
      <c r="E1159" t="s">
        <v>965</v>
      </c>
      <c r="F1159" t="s">
        <v>1099</v>
      </c>
      <c r="G1159" t="s">
        <v>1063</v>
      </c>
      <c r="H1159">
        <v>0.311</v>
      </c>
      <c r="J1159">
        <v>108387249</v>
      </c>
      <c r="K1159" s="2">
        <v>46052</v>
      </c>
      <c r="L1159">
        <v>31</v>
      </c>
      <c r="M1159">
        <v>1</v>
      </c>
      <c r="N1159">
        <v>11</v>
      </c>
      <c r="O1159">
        <v>5</v>
      </c>
      <c r="P1159" t="s">
        <v>7</v>
      </c>
    </row>
    <row r="1160" spans="1:19">
      <c r="A1160" t="s">
        <v>1021</v>
      </c>
      <c r="B1160" t="s">
        <v>1194</v>
      </c>
      <c r="C1160">
        <v>2E-3</v>
      </c>
      <c r="D1160" t="s">
        <v>758</v>
      </c>
      <c r="E1160" t="s">
        <v>963</v>
      </c>
      <c r="F1160" t="s">
        <v>965</v>
      </c>
      <c r="H1160">
        <v>999.99900000000002</v>
      </c>
      <c r="J1160">
        <v>108365811</v>
      </c>
      <c r="K1160" s="2">
        <v>45970</v>
      </c>
      <c r="L1160">
        <v>20</v>
      </c>
      <c r="M1160">
        <v>1</v>
      </c>
      <c r="N1160">
        <v>0</v>
      </c>
      <c r="O1160">
        <v>1</v>
      </c>
    </row>
    <row r="1161" spans="1:19">
      <c r="A1161" t="s">
        <v>1021</v>
      </c>
      <c r="B1161" t="s">
        <v>979</v>
      </c>
      <c r="C1161">
        <v>0</v>
      </c>
      <c r="E1161" t="s">
        <v>965</v>
      </c>
      <c r="F1161" t="s">
        <v>1195</v>
      </c>
      <c r="G1161" t="s">
        <v>979</v>
      </c>
      <c r="H1161">
        <v>9.6630000000000003</v>
      </c>
      <c r="J1161">
        <v>108535695</v>
      </c>
      <c r="K1161" s="2">
        <v>46193</v>
      </c>
      <c r="L1161">
        <v>21</v>
      </c>
      <c r="M1161">
        <v>1</v>
      </c>
      <c r="N1161">
        <v>0</v>
      </c>
      <c r="O1161">
        <v>4</v>
      </c>
      <c r="P1161" t="s">
        <v>3</v>
      </c>
    </row>
    <row r="1162" spans="1:19">
      <c r="A1162" t="s">
        <v>1021</v>
      </c>
      <c r="B1162" t="s">
        <v>1032</v>
      </c>
      <c r="C1162">
        <v>4.0000000000000001E-3</v>
      </c>
      <c r="D1162" t="s">
        <v>764</v>
      </c>
      <c r="E1162" t="s">
        <v>965</v>
      </c>
      <c r="F1162" t="s">
        <v>1071</v>
      </c>
      <c r="G1162" t="s">
        <v>1032</v>
      </c>
      <c r="H1162">
        <v>0.124</v>
      </c>
      <c r="J1162">
        <v>108385461</v>
      </c>
      <c r="K1162" s="2">
        <v>46051</v>
      </c>
      <c r="L1162">
        <v>21</v>
      </c>
      <c r="M1162">
        <v>1</v>
      </c>
      <c r="N1162">
        <v>7</v>
      </c>
      <c r="O1162">
        <v>1</v>
      </c>
      <c r="P1162" t="s">
        <v>3</v>
      </c>
    </row>
    <row r="1163" spans="1:19">
      <c r="A1163" t="s">
        <v>1021</v>
      </c>
      <c r="B1163" t="s">
        <v>1026</v>
      </c>
      <c r="C1163">
        <v>0</v>
      </c>
      <c r="E1163" t="s">
        <v>965</v>
      </c>
      <c r="F1163" t="s">
        <v>1055</v>
      </c>
      <c r="G1163" t="s">
        <v>1036</v>
      </c>
      <c r="H1163">
        <v>0.64300000000000002</v>
      </c>
      <c r="J1163">
        <v>108424121</v>
      </c>
      <c r="K1163" s="2">
        <v>46089</v>
      </c>
      <c r="L1163">
        <v>1</v>
      </c>
      <c r="M1163">
        <v>1</v>
      </c>
      <c r="N1163">
        <v>0</v>
      </c>
      <c r="O1163">
        <v>4</v>
      </c>
      <c r="P1163" t="s">
        <v>7</v>
      </c>
    </row>
    <row r="1164" spans="1:19">
      <c r="A1164" t="s">
        <v>1021</v>
      </c>
      <c r="B1164" t="s">
        <v>968</v>
      </c>
      <c r="C1164">
        <v>8.0000000000000002E-3</v>
      </c>
      <c r="D1164" t="s">
        <v>765</v>
      </c>
      <c r="E1164" t="s">
        <v>964</v>
      </c>
      <c r="F1164" t="s">
        <v>985</v>
      </c>
      <c r="G1164" t="s">
        <v>968</v>
      </c>
      <c r="H1164">
        <v>8.1289999999999996</v>
      </c>
      <c r="J1164">
        <v>108522615</v>
      </c>
      <c r="K1164" s="2">
        <v>46181</v>
      </c>
      <c r="L1164">
        <v>21</v>
      </c>
      <c r="M1164">
        <v>1</v>
      </c>
      <c r="N1164">
        <v>7</v>
      </c>
      <c r="O1164">
        <v>1</v>
      </c>
      <c r="P1164" t="s">
        <v>3</v>
      </c>
    </row>
    <row r="1165" spans="1:19">
      <c r="A1165" t="s">
        <v>1021</v>
      </c>
      <c r="B1165" t="s">
        <v>965</v>
      </c>
      <c r="C1165">
        <v>0.28399999999999997</v>
      </c>
      <c r="D1165" t="s">
        <v>756</v>
      </c>
      <c r="E1165" t="s">
        <v>1035</v>
      </c>
      <c r="F1165" t="s">
        <v>1097</v>
      </c>
      <c r="G1165" t="s">
        <v>1063</v>
      </c>
      <c r="H1165">
        <v>0.121</v>
      </c>
      <c r="J1165">
        <v>108395749</v>
      </c>
      <c r="K1165" s="2">
        <v>46062</v>
      </c>
      <c r="L1165">
        <v>17</v>
      </c>
      <c r="M1165">
        <v>1</v>
      </c>
      <c r="N1165">
        <v>0</v>
      </c>
      <c r="O1165">
        <v>4</v>
      </c>
      <c r="P1165" t="s">
        <v>7</v>
      </c>
    </row>
    <row r="1166" spans="1:19">
      <c r="A1166" t="s">
        <v>1021</v>
      </c>
      <c r="B1166" t="s">
        <v>968</v>
      </c>
      <c r="C1166">
        <v>8.9999999999999993E-3</v>
      </c>
      <c r="D1166" t="s">
        <v>757</v>
      </c>
      <c r="E1166" t="s">
        <v>964</v>
      </c>
      <c r="F1166" t="s">
        <v>964</v>
      </c>
      <c r="G1166" t="s">
        <v>968</v>
      </c>
      <c r="H1166">
        <v>8.1300000000000008</v>
      </c>
      <c r="J1166">
        <v>108513240</v>
      </c>
      <c r="K1166" s="2">
        <v>46171</v>
      </c>
      <c r="L1166">
        <v>21</v>
      </c>
      <c r="M1166">
        <v>1</v>
      </c>
      <c r="N1166">
        <v>12</v>
      </c>
      <c r="O1166">
        <v>1</v>
      </c>
      <c r="P1166" t="s">
        <v>7</v>
      </c>
    </row>
    <row r="1167" spans="1:19">
      <c r="A1167" t="s">
        <v>1021</v>
      </c>
      <c r="B1167" t="s">
        <v>965</v>
      </c>
      <c r="C1167">
        <v>1.2E-2</v>
      </c>
      <c r="D1167" t="s">
        <v>764</v>
      </c>
      <c r="E1167" t="s">
        <v>967</v>
      </c>
      <c r="F1167" t="s">
        <v>1020</v>
      </c>
      <c r="G1167" t="s">
        <v>961</v>
      </c>
      <c r="H1167">
        <v>0.19900000000000001</v>
      </c>
      <c r="J1167">
        <v>108527871</v>
      </c>
      <c r="K1167" s="2">
        <v>46185</v>
      </c>
      <c r="L1167">
        <v>2</v>
      </c>
      <c r="M1167">
        <v>1</v>
      </c>
      <c r="N1167">
        <v>7</v>
      </c>
      <c r="O1167">
        <v>1</v>
      </c>
      <c r="P1167" t="s">
        <v>8</v>
      </c>
    </row>
    <row r="1168" spans="1:19">
      <c r="A1168" t="s">
        <v>1021</v>
      </c>
      <c r="B1168" t="s">
        <v>965</v>
      </c>
      <c r="C1168">
        <v>0</v>
      </c>
      <c r="E1168" t="s">
        <v>979</v>
      </c>
      <c r="F1168" t="s">
        <v>1054</v>
      </c>
      <c r="G1168" t="s">
        <v>961</v>
      </c>
      <c r="H1168">
        <v>1.5960000000000001</v>
      </c>
      <c r="J1168">
        <v>108550627</v>
      </c>
      <c r="K1168" s="2">
        <v>46209</v>
      </c>
      <c r="L1168">
        <v>31</v>
      </c>
      <c r="M1168">
        <v>1</v>
      </c>
      <c r="N1168">
        <v>20</v>
      </c>
      <c r="O1168">
        <v>1</v>
      </c>
      <c r="P1168" t="s">
        <v>7</v>
      </c>
    </row>
    <row r="1169" spans="1:19">
      <c r="A1169" t="s">
        <v>1021</v>
      </c>
      <c r="B1169" t="s">
        <v>967</v>
      </c>
      <c r="C1169">
        <v>6.9000000000000006E-2</v>
      </c>
      <c r="D1169" t="s">
        <v>6</v>
      </c>
      <c r="E1169" t="s">
        <v>1018</v>
      </c>
      <c r="G1169" t="s">
        <v>960</v>
      </c>
      <c r="H1169">
        <v>1.431</v>
      </c>
      <c r="J1169">
        <v>108406684</v>
      </c>
      <c r="K1169" s="2">
        <v>46071</v>
      </c>
      <c r="L1169">
        <v>24</v>
      </c>
      <c r="M1169">
        <v>1</v>
      </c>
      <c r="N1169">
        <v>8</v>
      </c>
      <c r="O1169">
        <v>1</v>
      </c>
      <c r="P1169" t="s">
        <v>7</v>
      </c>
    </row>
    <row r="1170" spans="1:19">
      <c r="A1170" t="s">
        <v>1021</v>
      </c>
      <c r="B1170" t="s">
        <v>1028</v>
      </c>
      <c r="C1170">
        <v>0</v>
      </c>
      <c r="E1170" t="s">
        <v>966</v>
      </c>
      <c r="F1170" t="s">
        <v>1028</v>
      </c>
      <c r="H1170">
        <v>999.99900000000002</v>
      </c>
      <c r="J1170">
        <v>108429578</v>
      </c>
      <c r="K1170" s="2">
        <v>46094</v>
      </c>
      <c r="L1170">
        <v>30</v>
      </c>
      <c r="M1170">
        <v>1</v>
      </c>
      <c r="N1170">
        <v>8</v>
      </c>
      <c r="O1170">
        <v>1</v>
      </c>
      <c r="P1170" t="s">
        <v>3</v>
      </c>
    </row>
    <row r="1171" spans="1:19">
      <c r="A1171" t="s">
        <v>1021</v>
      </c>
      <c r="B1171" t="s">
        <v>1029</v>
      </c>
      <c r="C1171">
        <v>1.4E-2</v>
      </c>
      <c r="D1171" t="s">
        <v>756</v>
      </c>
      <c r="E1171" t="s">
        <v>967</v>
      </c>
      <c r="F1171" t="s">
        <v>1164</v>
      </c>
      <c r="H1171">
        <v>999.99900000000002</v>
      </c>
      <c r="J1171">
        <v>108550636</v>
      </c>
      <c r="K1171" s="2">
        <v>46207</v>
      </c>
      <c r="L1171">
        <v>19</v>
      </c>
      <c r="M1171">
        <v>1</v>
      </c>
      <c r="N1171">
        <v>25</v>
      </c>
      <c r="O1171">
        <v>1</v>
      </c>
      <c r="P1171" t="s">
        <v>7</v>
      </c>
    </row>
    <row r="1172" spans="1:19">
      <c r="A1172" t="s">
        <v>1021</v>
      </c>
      <c r="B1172" t="s">
        <v>965</v>
      </c>
      <c r="C1172">
        <v>0</v>
      </c>
      <c r="D1172" t="s">
        <v>757</v>
      </c>
      <c r="E1172" t="s">
        <v>968</v>
      </c>
      <c r="F1172" t="s">
        <v>967</v>
      </c>
      <c r="G1172" t="s">
        <v>962</v>
      </c>
      <c r="H1172">
        <v>2.1920000000000002</v>
      </c>
      <c r="J1172">
        <v>108406685</v>
      </c>
      <c r="K1172" s="2">
        <v>46071</v>
      </c>
      <c r="L1172">
        <v>30</v>
      </c>
      <c r="M1172">
        <v>1</v>
      </c>
      <c r="N1172">
        <v>7</v>
      </c>
      <c r="O1172">
        <v>1</v>
      </c>
      <c r="P1172" t="s">
        <v>7</v>
      </c>
    </row>
    <row r="1173" spans="1:19">
      <c r="A1173" t="s">
        <v>754</v>
      </c>
      <c r="B1173" t="s">
        <v>962</v>
      </c>
      <c r="C1173">
        <v>0</v>
      </c>
      <c r="D1173" t="s">
        <v>756</v>
      </c>
      <c r="E1173" t="s">
        <v>977</v>
      </c>
      <c r="F1173" t="s">
        <v>968</v>
      </c>
      <c r="G1173" t="s">
        <v>962</v>
      </c>
      <c r="H1173">
        <v>1.988</v>
      </c>
      <c r="J1173">
        <v>108449039</v>
      </c>
      <c r="K1173" s="2">
        <v>46106</v>
      </c>
      <c r="L1173">
        <v>21</v>
      </c>
      <c r="M1173">
        <v>1</v>
      </c>
      <c r="N1173">
        <v>8</v>
      </c>
      <c r="O1173">
        <v>1</v>
      </c>
      <c r="P1173" t="s">
        <v>7</v>
      </c>
      <c r="Q1173">
        <v>35.177729999999997</v>
      </c>
      <c r="R1173">
        <v>-79.434629999999999</v>
      </c>
      <c r="S1173" t="s">
        <v>761</v>
      </c>
    </row>
    <row r="1174" spans="1:19">
      <c r="A1174" t="s">
        <v>1021</v>
      </c>
      <c r="B1174" t="s">
        <v>965</v>
      </c>
      <c r="C1174">
        <v>0</v>
      </c>
      <c r="D1174" t="s">
        <v>757</v>
      </c>
      <c r="E1174" t="s">
        <v>968</v>
      </c>
      <c r="F1174" t="s">
        <v>965</v>
      </c>
      <c r="G1174" t="s">
        <v>962</v>
      </c>
      <c r="H1174">
        <v>2.1920000000000002</v>
      </c>
      <c r="J1174">
        <v>108430686</v>
      </c>
      <c r="K1174" s="2">
        <v>46095</v>
      </c>
      <c r="L1174">
        <v>21</v>
      </c>
      <c r="M1174">
        <v>1</v>
      </c>
      <c r="N1174">
        <v>7</v>
      </c>
      <c r="O1174">
        <v>1</v>
      </c>
      <c r="P1174" t="s">
        <v>7</v>
      </c>
    </row>
    <row r="1175" spans="1:19">
      <c r="A1175" t="s">
        <v>1021</v>
      </c>
      <c r="B1175" t="s">
        <v>965</v>
      </c>
      <c r="C1175">
        <v>7.0000000000000007E-2</v>
      </c>
      <c r="D1175" t="s">
        <v>758</v>
      </c>
      <c r="E1175" t="s">
        <v>1039</v>
      </c>
      <c r="F1175" t="s">
        <v>1023</v>
      </c>
      <c r="G1175" t="s">
        <v>961</v>
      </c>
      <c r="H1175">
        <v>0.76900000000000002</v>
      </c>
      <c r="J1175">
        <v>108472389</v>
      </c>
      <c r="K1175" s="2">
        <v>46132</v>
      </c>
      <c r="L1175">
        <v>28</v>
      </c>
      <c r="M1175">
        <v>1</v>
      </c>
      <c r="N1175">
        <v>8</v>
      </c>
      <c r="O1175">
        <v>1</v>
      </c>
      <c r="P1175" t="s">
        <v>7</v>
      </c>
    </row>
    <row r="1176" spans="1:19">
      <c r="A1176" t="s">
        <v>1021</v>
      </c>
      <c r="B1176" t="s">
        <v>965</v>
      </c>
      <c r="C1176">
        <v>0</v>
      </c>
      <c r="E1176" t="s">
        <v>1023</v>
      </c>
      <c r="G1176" t="s">
        <v>961</v>
      </c>
      <c r="H1176">
        <v>0.66500000000000004</v>
      </c>
      <c r="J1176">
        <v>108594074</v>
      </c>
      <c r="K1176" s="2">
        <v>46252</v>
      </c>
      <c r="L1176">
        <v>30</v>
      </c>
      <c r="M1176">
        <v>1</v>
      </c>
      <c r="N1176">
        <v>7</v>
      </c>
      <c r="O1176">
        <v>4</v>
      </c>
      <c r="P1176" t="s">
        <v>3</v>
      </c>
    </row>
    <row r="1177" spans="1:19">
      <c r="A1177" t="s">
        <v>754</v>
      </c>
      <c r="B1177" t="s">
        <v>961</v>
      </c>
      <c r="C1177">
        <v>0</v>
      </c>
      <c r="E1177" t="s">
        <v>968</v>
      </c>
      <c r="F1177" t="s">
        <v>1024</v>
      </c>
      <c r="G1177" t="s">
        <v>961</v>
      </c>
      <c r="H1177">
        <v>0</v>
      </c>
      <c r="J1177">
        <v>108594348</v>
      </c>
      <c r="K1177" s="2">
        <v>46247</v>
      </c>
      <c r="L1177">
        <v>23</v>
      </c>
      <c r="M1177">
        <v>1</v>
      </c>
      <c r="N1177">
        <v>7</v>
      </c>
      <c r="O1177">
        <v>5</v>
      </c>
      <c r="P1177" t="s">
        <v>7</v>
      </c>
      <c r="Q1177">
        <v>35.177419999999998</v>
      </c>
      <c r="R1177">
        <v>-79.431749999999994</v>
      </c>
      <c r="S1177" t="s">
        <v>755</v>
      </c>
    </row>
    <row r="1178" spans="1:19">
      <c r="A1178" t="s">
        <v>1021</v>
      </c>
      <c r="B1178" t="s">
        <v>965</v>
      </c>
      <c r="C1178">
        <v>0.05</v>
      </c>
      <c r="D1178" t="s">
        <v>764</v>
      </c>
      <c r="E1178" t="s">
        <v>968</v>
      </c>
      <c r="F1178" t="s">
        <v>967</v>
      </c>
      <c r="G1178" t="s">
        <v>962</v>
      </c>
      <c r="H1178">
        <v>2.1419999999999999</v>
      </c>
      <c r="J1178">
        <v>108401704</v>
      </c>
      <c r="K1178" s="2">
        <v>46067</v>
      </c>
      <c r="L1178">
        <v>28</v>
      </c>
      <c r="M1178">
        <v>1</v>
      </c>
      <c r="N1178">
        <v>0</v>
      </c>
      <c r="O1178">
        <v>1</v>
      </c>
      <c r="P1178" t="s">
        <v>7</v>
      </c>
    </row>
    <row r="1179" spans="1:19">
      <c r="A1179" t="s">
        <v>1021</v>
      </c>
      <c r="B1179" t="s">
        <v>967</v>
      </c>
      <c r="C1179">
        <v>0</v>
      </c>
      <c r="E1179" t="s">
        <v>965</v>
      </c>
      <c r="F1179" t="s">
        <v>1020</v>
      </c>
      <c r="G1179" t="s">
        <v>960</v>
      </c>
      <c r="H1179">
        <v>1.4890000000000001</v>
      </c>
      <c r="J1179">
        <v>108604168</v>
      </c>
      <c r="K1179" s="2">
        <v>46262</v>
      </c>
      <c r="L1179">
        <v>30</v>
      </c>
      <c r="M1179">
        <v>2</v>
      </c>
      <c r="N1179">
        <v>7</v>
      </c>
      <c r="O1179">
        <v>1</v>
      </c>
      <c r="P1179" t="s">
        <v>7</v>
      </c>
    </row>
    <row r="1180" spans="1:19">
      <c r="A1180" t="s">
        <v>1021</v>
      </c>
      <c r="B1180" t="s">
        <v>965</v>
      </c>
      <c r="C1180">
        <v>0</v>
      </c>
      <c r="E1180" t="s">
        <v>1023</v>
      </c>
      <c r="F1180" t="s">
        <v>1037</v>
      </c>
      <c r="G1180" t="s">
        <v>961</v>
      </c>
      <c r="H1180">
        <v>0.66500000000000004</v>
      </c>
      <c r="J1180">
        <v>108410603</v>
      </c>
      <c r="K1180" s="2">
        <v>46077</v>
      </c>
      <c r="L1180">
        <v>30</v>
      </c>
      <c r="M1180">
        <v>1</v>
      </c>
      <c r="N1180">
        <v>7</v>
      </c>
      <c r="O1180">
        <v>1</v>
      </c>
      <c r="P1180" t="s">
        <v>8</v>
      </c>
    </row>
    <row r="1181" spans="1:19">
      <c r="A1181" t="s">
        <v>1021</v>
      </c>
      <c r="B1181" t="s">
        <v>968</v>
      </c>
      <c r="C1181">
        <v>0</v>
      </c>
      <c r="E1181" t="s">
        <v>965</v>
      </c>
      <c r="F1181" t="s">
        <v>963</v>
      </c>
      <c r="G1181" t="s">
        <v>968</v>
      </c>
      <c r="H1181">
        <v>7.75</v>
      </c>
      <c r="J1181">
        <v>108422786</v>
      </c>
      <c r="K1181" s="2">
        <v>46087</v>
      </c>
      <c r="L1181">
        <v>24</v>
      </c>
      <c r="M1181">
        <v>1</v>
      </c>
      <c r="N1181">
        <v>7</v>
      </c>
      <c r="O1181">
        <v>1</v>
      </c>
      <c r="P1181" t="s">
        <v>3</v>
      </c>
    </row>
    <row r="1182" spans="1:19">
      <c r="A1182" t="s">
        <v>1021</v>
      </c>
      <c r="B1182" t="s">
        <v>965</v>
      </c>
      <c r="C1182">
        <v>4.7E-2</v>
      </c>
      <c r="D1182" t="s">
        <v>756</v>
      </c>
      <c r="E1182" t="s">
        <v>968</v>
      </c>
      <c r="F1182" t="s">
        <v>963</v>
      </c>
      <c r="G1182" t="s">
        <v>961</v>
      </c>
      <c r="H1182">
        <v>4.7E-2</v>
      </c>
      <c r="J1182">
        <v>108604623</v>
      </c>
      <c r="K1182" s="2">
        <v>46263</v>
      </c>
      <c r="L1182">
        <v>24</v>
      </c>
      <c r="M1182">
        <v>1</v>
      </c>
      <c r="N1182">
        <v>0</v>
      </c>
      <c r="O1182">
        <v>1</v>
      </c>
      <c r="P1182" t="s">
        <v>3</v>
      </c>
    </row>
    <row r="1183" spans="1:19">
      <c r="A1183" t="s">
        <v>1021</v>
      </c>
      <c r="B1183" t="s">
        <v>1026</v>
      </c>
      <c r="C1183">
        <v>0</v>
      </c>
      <c r="E1183" t="s">
        <v>965</v>
      </c>
      <c r="G1183" t="s">
        <v>1036</v>
      </c>
      <c r="H1183">
        <v>0.64300000000000002</v>
      </c>
      <c r="J1183">
        <v>108476135</v>
      </c>
      <c r="K1183" s="2">
        <v>46136</v>
      </c>
      <c r="L1183">
        <v>26</v>
      </c>
      <c r="M1183">
        <v>1</v>
      </c>
      <c r="N1183">
        <v>0</v>
      </c>
      <c r="O1183">
        <v>1</v>
      </c>
      <c r="P1183" t="s">
        <v>7</v>
      </c>
    </row>
    <row r="1184" spans="1:19">
      <c r="A1184" t="s">
        <v>1021</v>
      </c>
      <c r="B1184" t="s">
        <v>965</v>
      </c>
      <c r="C1184">
        <v>0.13</v>
      </c>
      <c r="D1184" t="s">
        <v>762</v>
      </c>
      <c r="E1184" t="s">
        <v>1099</v>
      </c>
      <c r="F1184" t="s">
        <v>1061</v>
      </c>
      <c r="G1184" t="s">
        <v>1063</v>
      </c>
      <c r="H1184">
        <v>0.441</v>
      </c>
      <c r="J1184">
        <v>108390489</v>
      </c>
      <c r="K1184" s="2">
        <v>46056</v>
      </c>
      <c r="L1184">
        <v>1</v>
      </c>
      <c r="M1184">
        <v>4</v>
      </c>
      <c r="N1184">
        <v>0</v>
      </c>
      <c r="O1184">
        <v>5</v>
      </c>
      <c r="P1184" t="s">
        <v>7</v>
      </c>
    </row>
    <row r="1185" spans="1:16">
      <c r="A1185" t="s">
        <v>1021</v>
      </c>
      <c r="B1185" t="s">
        <v>965</v>
      </c>
      <c r="C1185">
        <v>6.8000000000000005E-2</v>
      </c>
      <c r="D1185" t="s">
        <v>756</v>
      </c>
      <c r="E1185" t="s">
        <v>1037</v>
      </c>
      <c r="F1185" t="s">
        <v>1023</v>
      </c>
      <c r="G1185" t="s">
        <v>961</v>
      </c>
      <c r="H1185">
        <v>0.73299999999999998</v>
      </c>
      <c r="J1185">
        <v>108572505</v>
      </c>
      <c r="K1185" s="2">
        <v>46231</v>
      </c>
      <c r="L1185">
        <v>28</v>
      </c>
      <c r="M1185">
        <v>1</v>
      </c>
      <c r="N1185">
        <v>0</v>
      </c>
      <c r="O1185">
        <v>1</v>
      </c>
      <c r="P1185" t="s">
        <v>3</v>
      </c>
    </row>
    <row r="1186" spans="1:16">
      <c r="A1186" t="s">
        <v>1021</v>
      </c>
      <c r="B1186" t="s">
        <v>966</v>
      </c>
      <c r="C1186">
        <v>0</v>
      </c>
      <c r="E1186" t="s">
        <v>964</v>
      </c>
      <c r="G1186" t="s">
        <v>960</v>
      </c>
      <c r="H1186">
        <v>0.72699999999999998</v>
      </c>
      <c r="J1186">
        <v>108450173</v>
      </c>
      <c r="K1186" s="2">
        <v>46107</v>
      </c>
      <c r="L1186">
        <v>26</v>
      </c>
      <c r="M1186">
        <v>1</v>
      </c>
      <c r="N1186">
        <v>10</v>
      </c>
      <c r="O1186">
        <v>1</v>
      </c>
      <c r="P1186" t="s">
        <v>7</v>
      </c>
    </row>
    <row r="1187" spans="1:16">
      <c r="A1187" t="s">
        <v>1021</v>
      </c>
      <c r="B1187" t="s">
        <v>1018</v>
      </c>
      <c r="C1187">
        <v>0</v>
      </c>
      <c r="E1187" t="s">
        <v>967</v>
      </c>
      <c r="F1187" t="s">
        <v>1019</v>
      </c>
      <c r="G1187" t="s">
        <v>960</v>
      </c>
      <c r="H1187">
        <v>1.3620000000000001</v>
      </c>
      <c r="J1187">
        <v>108476825</v>
      </c>
      <c r="K1187" s="2">
        <v>46137</v>
      </c>
      <c r="L1187">
        <v>26</v>
      </c>
      <c r="M1187">
        <v>1</v>
      </c>
      <c r="N1187">
        <v>8</v>
      </c>
      <c r="O1187">
        <v>1</v>
      </c>
      <c r="P1187" t="s">
        <v>7</v>
      </c>
    </row>
    <row r="1188" spans="1:16">
      <c r="A1188" t="s">
        <v>1021</v>
      </c>
      <c r="B1188" t="s">
        <v>965</v>
      </c>
      <c r="C1188">
        <v>0</v>
      </c>
      <c r="E1188" t="s">
        <v>1196</v>
      </c>
      <c r="F1188" t="s">
        <v>1098</v>
      </c>
      <c r="H1188">
        <v>999.99900000000002</v>
      </c>
      <c r="J1188">
        <v>108464424</v>
      </c>
      <c r="K1188" s="2">
        <v>46125</v>
      </c>
      <c r="L1188">
        <v>21</v>
      </c>
      <c r="M1188">
        <v>1</v>
      </c>
      <c r="N1188">
        <v>9</v>
      </c>
      <c r="O1188">
        <v>1</v>
      </c>
      <c r="P1188" t="s">
        <v>7</v>
      </c>
    </row>
    <row r="1189" spans="1:16">
      <c r="A1189" t="s">
        <v>1021</v>
      </c>
      <c r="B1189" t="s">
        <v>968</v>
      </c>
      <c r="C1189">
        <v>1.9E-2</v>
      </c>
      <c r="D1189" t="s">
        <v>765</v>
      </c>
      <c r="E1189" t="s">
        <v>965</v>
      </c>
      <c r="F1189" t="s">
        <v>1072</v>
      </c>
      <c r="G1189" t="s">
        <v>968</v>
      </c>
      <c r="H1189">
        <v>7.7690000000000001</v>
      </c>
      <c r="J1189">
        <v>108436439</v>
      </c>
      <c r="K1189" s="2">
        <v>46054</v>
      </c>
      <c r="L1189">
        <v>28</v>
      </c>
      <c r="M1189">
        <v>4</v>
      </c>
      <c r="N1189">
        <v>7</v>
      </c>
      <c r="O1189">
        <v>1</v>
      </c>
      <c r="P1189" t="s">
        <v>7</v>
      </c>
    </row>
    <row r="1190" spans="1:16">
      <c r="A1190" t="s">
        <v>1021</v>
      </c>
      <c r="B1190" t="s">
        <v>967</v>
      </c>
      <c r="C1190">
        <v>0</v>
      </c>
      <c r="E1190" t="s">
        <v>1029</v>
      </c>
      <c r="F1190" t="s">
        <v>966</v>
      </c>
      <c r="G1190" t="s">
        <v>960</v>
      </c>
      <c r="H1190">
        <v>0.91100000000000003</v>
      </c>
      <c r="J1190">
        <v>108444655</v>
      </c>
      <c r="K1190" s="2">
        <v>46106</v>
      </c>
      <c r="L1190">
        <v>30</v>
      </c>
      <c r="M1190">
        <v>1</v>
      </c>
      <c r="N1190">
        <v>8</v>
      </c>
      <c r="O1190">
        <v>1</v>
      </c>
      <c r="P1190" t="s">
        <v>7</v>
      </c>
    </row>
    <row r="1191" spans="1:16">
      <c r="A1191" t="s">
        <v>1021</v>
      </c>
      <c r="B1191" t="s">
        <v>965</v>
      </c>
      <c r="C1191">
        <v>0</v>
      </c>
      <c r="E1191" t="s">
        <v>1023</v>
      </c>
      <c r="G1191" t="s">
        <v>961</v>
      </c>
      <c r="H1191">
        <v>0.66500000000000004</v>
      </c>
      <c r="J1191">
        <v>108501760</v>
      </c>
      <c r="K1191" s="2">
        <v>46153</v>
      </c>
      <c r="L1191">
        <v>24</v>
      </c>
      <c r="M1191">
        <v>1</v>
      </c>
      <c r="N1191">
        <v>7</v>
      </c>
      <c r="O1191">
        <v>3</v>
      </c>
      <c r="P1191" t="s">
        <v>9</v>
      </c>
    </row>
    <row r="1192" spans="1:16">
      <c r="A1192" t="s">
        <v>1021</v>
      </c>
      <c r="B1192" t="s">
        <v>968</v>
      </c>
      <c r="C1192">
        <v>0</v>
      </c>
      <c r="D1192" t="s">
        <v>756</v>
      </c>
      <c r="E1192" t="s">
        <v>965</v>
      </c>
      <c r="F1192" t="s">
        <v>1037</v>
      </c>
      <c r="G1192" t="s">
        <v>968</v>
      </c>
      <c r="H1192">
        <v>7.75</v>
      </c>
      <c r="J1192">
        <v>108435154</v>
      </c>
      <c r="K1192" s="2">
        <v>46096</v>
      </c>
      <c r="L1192">
        <v>30</v>
      </c>
      <c r="M1192">
        <v>1</v>
      </c>
      <c r="N1192">
        <v>7</v>
      </c>
      <c r="O1192">
        <v>1</v>
      </c>
      <c r="P1192" t="s">
        <v>3</v>
      </c>
    </row>
    <row r="1193" spans="1:16">
      <c r="A1193" t="s">
        <v>1021</v>
      </c>
      <c r="B1193" t="s">
        <v>1029</v>
      </c>
      <c r="C1193">
        <v>0</v>
      </c>
      <c r="E1193" t="s">
        <v>967</v>
      </c>
      <c r="F1193" t="s">
        <v>966</v>
      </c>
      <c r="G1193" t="s">
        <v>960</v>
      </c>
      <c r="H1193">
        <v>0.91100000000000003</v>
      </c>
      <c r="J1193">
        <v>108463514</v>
      </c>
      <c r="K1193" s="2">
        <v>46125</v>
      </c>
      <c r="L1193">
        <v>19</v>
      </c>
      <c r="M1193">
        <v>1</v>
      </c>
      <c r="N1193">
        <v>0</v>
      </c>
      <c r="O1193">
        <v>1</v>
      </c>
      <c r="P1193" t="s">
        <v>7</v>
      </c>
    </row>
    <row r="1194" spans="1:16">
      <c r="A1194" t="s">
        <v>1021</v>
      </c>
      <c r="B1194" t="s">
        <v>965</v>
      </c>
      <c r="C1194">
        <v>2.5000000000000001E-2</v>
      </c>
      <c r="D1194" t="s">
        <v>763</v>
      </c>
      <c r="E1194" t="s">
        <v>968</v>
      </c>
      <c r="F1194" t="s">
        <v>977</v>
      </c>
      <c r="G1194" t="s">
        <v>962</v>
      </c>
      <c r="H1194">
        <v>2.1669999999999998</v>
      </c>
      <c r="J1194">
        <v>108446727</v>
      </c>
      <c r="K1194" s="2">
        <v>46107</v>
      </c>
      <c r="L1194">
        <v>21</v>
      </c>
      <c r="M1194">
        <v>1</v>
      </c>
      <c r="N1194">
        <v>0</v>
      </c>
      <c r="O1194">
        <v>1</v>
      </c>
      <c r="P1194" t="s">
        <v>7</v>
      </c>
    </row>
    <row r="1195" spans="1:16">
      <c r="A1195" t="s">
        <v>1021</v>
      </c>
      <c r="B1195" t="s">
        <v>968</v>
      </c>
      <c r="C1195">
        <v>0</v>
      </c>
      <c r="D1195" t="s">
        <v>756</v>
      </c>
      <c r="E1195" t="s">
        <v>965</v>
      </c>
      <c r="F1195" t="s">
        <v>963</v>
      </c>
      <c r="G1195" t="s">
        <v>968</v>
      </c>
      <c r="H1195">
        <v>7.75</v>
      </c>
      <c r="J1195">
        <v>108436291</v>
      </c>
      <c r="K1195" s="2">
        <v>46100</v>
      </c>
      <c r="L1195">
        <v>21</v>
      </c>
      <c r="M1195">
        <v>1</v>
      </c>
      <c r="N1195">
        <v>7</v>
      </c>
      <c r="O1195">
        <v>1</v>
      </c>
      <c r="P1195" t="s">
        <v>7</v>
      </c>
    </row>
    <row r="1196" spans="1:16">
      <c r="A1196" t="s">
        <v>1021</v>
      </c>
      <c r="B1196" t="s">
        <v>967</v>
      </c>
      <c r="C1196">
        <v>0</v>
      </c>
      <c r="E1196" t="s">
        <v>1029</v>
      </c>
      <c r="F1196" t="s">
        <v>966</v>
      </c>
      <c r="G1196" t="s">
        <v>960</v>
      </c>
      <c r="H1196">
        <v>0.91100000000000003</v>
      </c>
      <c r="J1196">
        <v>108462353</v>
      </c>
      <c r="K1196" s="2">
        <v>46124</v>
      </c>
      <c r="L1196">
        <v>30</v>
      </c>
      <c r="M1196">
        <v>1</v>
      </c>
      <c r="N1196">
        <v>8</v>
      </c>
      <c r="O1196">
        <v>1</v>
      </c>
      <c r="P1196" t="s">
        <v>7</v>
      </c>
    </row>
    <row r="1197" spans="1:16">
      <c r="A1197" t="s">
        <v>1021</v>
      </c>
      <c r="B1197" t="s">
        <v>1197</v>
      </c>
      <c r="C1197">
        <v>1.0999999999999999E-2</v>
      </c>
      <c r="D1197" t="s">
        <v>6</v>
      </c>
      <c r="E1197" t="s">
        <v>965</v>
      </c>
      <c r="F1197" t="s">
        <v>1037</v>
      </c>
      <c r="H1197">
        <v>999.99900000000002</v>
      </c>
      <c r="J1197">
        <v>108517687</v>
      </c>
      <c r="K1197" s="2">
        <v>46176</v>
      </c>
      <c r="L1197">
        <v>31</v>
      </c>
      <c r="M1197">
        <v>1</v>
      </c>
      <c r="N1197">
        <v>4</v>
      </c>
      <c r="O1197">
        <v>1</v>
      </c>
      <c r="P1197" t="s">
        <v>7</v>
      </c>
    </row>
    <row r="1198" spans="1:16">
      <c r="A1198" t="s">
        <v>1021</v>
      </c>
      <c r="B1198" t="s">
        <v>965</v>
      </c>
      <c r="C1198">
        <v>2E-3</v>
      </c>
      <c r="D1198" t="s">
        <v>765</v>
      </c>
      <c r="E1198" t="s">
        <v>979</v>
      </c>
      <c r="F1198" t="s">
        <v>1088</v>
      </c>
      <c r="G1198" t="s">
        <v>961</v>
      </c>
      <c r="H1198">
        <v>1.5940000000000001</v>
      </c>
      <c r="J1198">
        <v>108606539</v>
      </c>
      <c r="K1198" s="2">
        <v>46265</v>
      </c>
      <c r="L1198">
        <v>21</v>
      </c>
      <c r="M1198">
        <v>1</v>
      </c>
      <c r="N1198">
        <v>8</v>
      </c>
      <c r="O1198">
        <v>1</v>
      </c>
      <c r="P1198" t="s">
        <v>8</v>
      </c>
    </row>
    <row r="1199" spans="1:16">
      <c r="A1199" t="s">
        <v>1021</v>
      </c>
      <c r="B1199" t="s">
        <v>965</v>
      </c>
      <c r="C1199">
        <v>0</v>
      </c>
      <c r="E1199" t="s">
        <v>968</v>
      </c>
      <c r="F1199" t="s">
        <v>986</v>
      </c>
      <c r="G1199" t="s">
        <v>962</v>
      </c>
      <c r="H1199">
        <v>2.1920000000000002</v>
      </c>
      <c r="J1199">
        <v>108586880</v>
      </c>
      <c r="K1199" s="2">
        <v>46245</v>
      </c>
      <c r="L1199">
        <v>21</v>
      </c>
      <c r="M1199">
        <v>1</v>
      </c>
      <c r="N1199">
        <v>8</v>
      </c>
      <c r="O1199">
        <v>1</v>
      </c>
      <c r="P1199" t="s">
        <v>7</v>
      </c>
    </row>
    <row r="1200" spans="1:16">
      <c r="A1200" t="s">
        <v>1021</v>
      </c>
      <c r="B1200" t="s">
        <v>968</v>
      </c>
      <c r="C1200">
        <v>0</v>
      </c>
      <c r="E1200" t="s">
        <v>965</v>
      </c>
      <c r="F1200" t="s">
        <v>965</v>
      </c>
      <c r="G1200" t="s">
        <v>968</v>
      </c>
      <c r="H1200">
        <v>7.75</v>
      </c>
      <c r="J1200">
        <v>108586883</v>
      </c>
      <c r="K1200" s="2">
        <v>46244</v>
      </c>
      <c r="L1200">
        <v>21</v>
      </c>
      <c r="M1200">
        <v>1</v>
      </c>
      <c r="N1200">
        <v>7</v>
      </c>
      <c r="O1200">
        <v>1</v>
      </c>
      <c r="P1200" t="s">
        <v>7</v>
      </c>
    </row>
    <row r="1201" spans="1:19">
      <c r="A1201" t="s">
        <v>1021</v>
      </c>
      <c r="B1201" t="s">
        <v>968</v>
      </c>
      <c r="C1201">
        <v>0</v>
      </c>
      <c r="D1201" t="s">
        <v>765</v>
      </c>
      <c r="E1201" t="s">
        <v>965</v>
      </c>
      <c r="F1201" t="s">
        <v>963</v>
      </c>
      <c r="G1201" t="s">
        <v>968</v>
      </c>
      <c r="H1201">
        <v>7.75</v>
      </c>
      <c r="J1201">
        <v>108498878</v>
      </c>
      <c r="K1201" s="2">
        <v>46158</v>
      </c>
      <c r="L1201">
        <v>21</v>
      </c>
      <c r="M1201">
        <v>1</v>
      </c>
      <c r="N1201">
        <v>7</v>
      </c>
      <c r="O1201">
        <v>4</v>
      </c>
      <c r="P1201" t="s">
        <v>7</v>
      </c>
    </row>
    <row r="1202" spans="1:19">
      <c r="A1202" t="s">
        <v>1021</v>
      </c>
      <c r="B1202" t="s">
        <v>965</v>
      </c>
      <c r="C1202">
        <v>8.9999999999999993E-3</v>
      </c>
      <c r="D1202" t="s">
        <v>756</v>
      </c>
      <c r="E1202" t="s">
        <v>1032</v>
      </c>
      <c r="F1202" t="s">
        <v>1033</v>
      </c>
      <c r="G1202" t="s">
        <v>961</v>
      </c>
      <c r="H1202">
        <v>1.8520000000000001</v>
      </c>
      <c r="J1202">
        <v>108518939</v>
      </c>
      <c r="K1202" s="2">
        <v>46177</v>
      </c>
      <c r="L1202">
        <v>21</v>
      </c>
      <c r="M1202">
        <v>1</v>
      </c>
      <c r="N1202">
        <v>7</v>
      </c>
      <c r="O1202">
        <v>1</v>
      </c>
      <c r="P1202" t="s">
        <v>7</v>
      </c>
    </row>
    <row r="1203" spans="1:19">
      <c r="A1203" t="s">
        <v>1021</v>
      </c>
      <c r="B1203" t="s">
        <v>1198</v>
      </c>
      <c r="C1203">
        <v>0</v>
      </c>
      <c r="E1203" t="s">
        <v>965</v>
      </c>
      <c r="F1203" t="s">
        <v>968</v>
      </c>
      <c r="H1203">
        <v>999.99900000000002</v>
      </c>
      <c r="J1203">
        <v>108606538</v>
      </c>
      <c r="K1203" s="2">
        <v>46265</v>
      </c>
      <c r="L1203">
        <v>28</v>
      </c>
      <c r="M1203">
        <v>1</v>
      </c>
      <c r="N1203">
        <v>4</v>
      </c>
      <c r="O1203">
        <v>1</v>
      </c>
      <c r="P1203" t="s">
        <v>7</v>
      </c>
    </row>
    <row r="1204" spans="1:19">
      <c r="A1204" t="s">
        <v>1021</v>
      </c>
      <c r="B1204" t="s">
        <v>968</v>
      </c>
      <c r="C1204">
        <v>0</v>
      </c>
      <c r="D1204" t="s">
        <v>762</v>
      </c>
      <c r="E1204" t="s">
        <v>964</v>
      </c>
      <c r="F1204" t="s">
        <v>1072</v>
      </c>
      <c r="G1204" t="s">
        <v>968</v>
      </c>
      <c r="H1204">
        <v>8.1210000000000004</v>
      </c>
      <c r="J1204">
        <v>108568665</v>
      </c>
      <c r="K1204" s="2">
        <v>46226</v>
      </c>
      <c r="L1204">
        <v>30</v>
      </c>
      <c r="M1204">
        <v>2</v>
      </c>
      <c r="N1204">
        <v>12</v>
      </c>
      <c r="O1204">
        <v>1</v>
      </c>
      <c r="P1204" t="s">
        <v>7</v>
      </c>
    </row>
    <row r="1205" spans="1:19">
      <c r="A1205" t="s">
        <v>1021</v>
      </c>
      <c r="B1205" t="s">
        <v>1199</v>
      </c>
      <c r="C1205">
        <v>3.7999999999999999E-2</v>
      </c>
      <c r="D1205" t="s">
        <v>6</v>
      </c>
      <c r="E1205" t="s">
        <v>965</v>
      </c>
      <c r="F1205" t="s">
        <v>968</v>
      </c>
      <c r="H1205">
        <v>999.99900000000002</v>
      </c>
      <c r="J1205">
        <v>108597848</v>
      </c>
      <c r="K1205" s="2">
        <v>46256</v>
      </c>
      <c r="L1205">
        <v>20</v>
      </c>
      <c r="M1205">
        <v>1</v>
      </c>
      <c r="N1205">
        <v>0</v>
      </c>
      <c r="O1205">
        <v>1</v>
      </c>
      <c r="P1205" t="s">
        <v>7</v>
      </c>
    </row>
    <row r="1206" spans="1:19">
      <c r="A1206" t="s">
        <v>754</v>
      </c>
      <c r="B1206" t="s">
        <v>962</v>
      </c>
      <c r="C1206">
        <v>0.1</v>
      </c>
      <c r="D1206" t="s">
        <v>758</v>
      </c>
      <c r="E1206" t="s">
        <v>968</v>
      </c>
      <c r="F1206" t="s">
        <v>973</v>
      </c>
      <c r="G1206" t="s">
        <v>962</v>
      </c>
      <c r="H1206">
        <v>2.0920000000000001</v>
      </c>
      <c r="J1206">
        <v>108547757</v>
      </c>
      <c r="K1206" s="2">
        <v>46204</v>
      </c>
      <c r="L1206">
        <v>21</v>
      </c>
      <c r="M1206">
        <v>1</v>
      </c>
      <c r="N1206">
        <v>0</v>
      </c>
      <c r="O1206">
        <v>1</v>
      </c>
      <c r="P1206" t="s">
        <v>7</v>
      </c>
      <c r="Q1206">
        <v>35.17689</v>
      </c>
      <c r="R1206">
        <v>-79.435019999999994</v>
      </c>
      <c r="S1206" t="s">
        <v>755</v>
      </c>
    </row>
    <row r="1207" spans="1:19">
      <c r="A1207" t="s">
        <v>1021</v>
      </c>
      <c r="B1207" t="s">
        <v>965</v>
      </c>
      <c r="C1207">
        <v>9.1999999999999998E-2</v>
      </c>
      <c r="D1207" t="s">
        <v>756</v>
      </c>
      <c r="E1207" t="s">
        <v>1200</v>
      </c>
      <c r="F1207" t="s">
        <v>1201</v>
      </c>
      <c r="H1207">
        <v>999.99900000000002</v>
      </c>
      <c r="J1207">
        <v>108562730</v>
      </c>
      <c r="K1207" s="2">
        <v>46221</v>
      </c>
      <c r="L1207">
        <v>21</v>
      </c>
      <c r="M1207">
        <v>1</v>
      </c>
      <c r="N1207">
        <v>0</v>
      </c>
      <c r="O1207">
        <v>1</v>
      </c>
      <c r="P1207" t="s">
        <v>7</v>
      </c>
    </row>
    <row r="1208" spans="1:19">
      <c r="A1208" t="s">
        <v>1021</v>
      </c>
      <c r="B1208" t="s">
        <v>965</v>
      </c>
      <c r="C1208">
        <v>0.1</v>
      </c>
      <c r="D1208" t="s">
        <v>763</v>
      </c>
      <c r="E1208" t="s">
        <v>967</v>
      </c>
      <c r="F1208" t="s">
        <v>968</v>
      </c>
      <c r="G1208" t="s">
        <v>961</v>
      </c>
      <c r="H1208">
        <v>0.111</v>
      </c>
      <c r="J1208">
        <v>108484532</v>
      </c>
      <c r="K1208" s="2">
        <v>46145</v>
      </c>
      <c r="L1208">
        <v>26</v>
      </c>
      <c r="M1208">
        <v>1</v>
      </c>
      <c r="N1208">
        <v>0</v>
      </c>
      <c r="O1208">
        <v>1</v>
      </c>
      <c r="P1208" t="s">
        <v>7</v>
      </c>
    </row>
    <row r="1209" spans="1:19">
      <c r="A1209" t="s">
        <v>1021</v>
      </c>
      <c r="B1209" t="s">
        <v>1202</v>
      </c>
      <c r="C1209">
        <v>1.4999999999999999E-2</v>
      </c>
      <c r="D1209" t="s">
        <v>756</v>
      </c>
      <c r="E1209" t="s">
        <v>967</v>
      </c>
      <c r="F1209" t="s">
        <v>965</v>
      </c>
      <c r="H1209">
        <v>999.99900000000002</v>
      </c>
      <c r="J1209">
        <v>108438255</v>
      </c>
      <c r="K1209" s="2">
        <v>46102</v>
      </c>
      <c r="L1209">
        <v>31</v>
      </c>
      <c r="M1209">
        <v>1</v>
      </c>
      <c r="N1209">
        <v>4</v>
      </c>
      <c r="O1209">
        <v>1</v>
      </c>
      <c r="P1209" t="s">
        <v>7</v>
      </c>
    </row>
    <row r="1210" spans="1:19">
      <c r="A1210" t="s">
        <v>754</v>
      </c>
      <c r="B1210" t="s">
        <v>962</v>
      </c>
      <c r="C1210">
        <v>1.9E-2</v>
      </c>
      <c r="D1210" t="s">
        <v>758</v>
      </c>
      <c r="E1210" t="s">
        <v>968</v>
      </c>
      <c r="F1210" t="s">
        <v>975</v>
      </c>
      <c r="G1210" t="s">
        <v>962</v>
      </c>
      <c r="H1210">
        <v>2.173</v>
      </c>
      <c r="J1210">
        <v>108567110</v>
      </c>
      <c r="K1210" s="2">
        <v>46223</v>
      </c>
      <c r="L1210">
        <v>21</v>
      </c>
      <c r="M1210">
        <v>1</v>
      </c>
      <c r="N1210">
        <v>0</v>
      </c>
      <c r="O1210">
        <v>1</v>
      </c>
      <c r="P1210" t="s">
        <v>7</v>
      </c>
      <c r="Q1210">
        <v>35.177309999999999</v>
      </c>
      <c r="R1210">
        <v>-79.431690000000003</v>
      </c>
      <c r="S1210" t="s">
        <v>755</v>
      </c>
    </row>
    <row r="1211" spans="1:19">
      <c r="A1211" t="s">
        <v>1021</v>
      </c>
      <c r="B1211" t="s">
        <v>965</v>
      </c>
      <c r="C1211">
        <v>0</v>
      </c>
      <c r="E1211" t="s">
        <v>1023</v>
      </c>
      <c r="F1211" t="s">
        <v>1020</v>
      </c>
      <c r="G1211" t="s">
        <v>961</v>
      </c>
      <c r="H1211">
        <v>0.66500000000000004</v>
      </c>
      <c r="J1211">
        <v>108595987</v>
      </c>
      <c r="K1211" s="2">
        <v>46254</v>
      </c>
      <c r="L1211">
        <v>28</v>
      </c>
      <c r="M1211">
        <v>1</v>
      </c>
      <c r="N1211">
        <v>7</v>
      </c>
      <c r="O1211">
        <v>1</v>
      </c>
      <c r="P1211" t="s">
        <v>7</v>
      </c>
    </row>
    <row r="1212" spans="1:19">
      <c r="A1212" t="s">
        <v>1021</v>
      </c>
      <c r="B1212" t="s">
        <v>1203</v>
      </c>
      <c r="C1212">
        <v>1.9E-2</v>
      </c>
      <c r="D1212" t="s">
        <v>757</v>
      </c>
      <c r="E1212" t="s">
        <v>965</v>
      </c>
      <c r="F1212" t="s">
        <v>968</v>
      </c>
      <c r="H1212">
        <v>999.99900000000002</v>
      </c>
      <c r="J1212">
        <v>108555383</v>
      </c>
      <c r="K1212" s="2">
        <v>46213</v>
      </c>
      <c r="L1212">
        <v>20</v>
      </c>
      <c r="M1212">
        <v>1</v>
      </c>
      <c r="N1212">
        <v>0</v>
      </c>
      <c r="O1212">
        <v>1</v>
      </c>
      <c r="P1212" t="s">
        <v>7</v>
      </c>
    </row>
    <row r="1213" spans="1:19">
      <c r="A1213" t="s">
        <v>1021</v>
      </c>
      <c r="B1213" t="s">
        <v>965</v>
      </c>
      <c r="C1213">
        <v>0</v>
      </c>
      <c r="D1213" t="s">
        <v>756</v>
      </c>
      <c r="E1213" t="s">
        <v>1035</v>
      </c>
      <c r="F1213" t="s">
        <v>1133</v>
      </c>
      <c r="G1213" t="s">
        <v>961</v>
      </c>
      <c r="H1213">
        <v>1.893</v>
      </c>
      <c r="J1213">
        <v>108563514</v>
      </c>
      <c r="K1213" s="2">
        <v>46212</v>
      </c>
      <c r="L1213">
        <v>1</v>
      </c>
      <c r="M1213">
        <v>2</v>
      </c>
      <c r="N1213">
        <v>9</v>
      </c>
      <c r="O1213">
        <v>2</v>
      </c>
      <c r="P1213" t="s">
        <v>7</v>
      </c>
    </row>
    <row r="1214" spans="1:19">
      <c r="A1214" t="s">
        <v>1021</v>
      </c>
      <c r="B1214" t="s">
        <v>965</v>
      </c>
      <c r="C1214">
        <v>3.4000000000000002E-2</v>
      </c>
      <c r="D1214" t="s">
        <v>756</v>
      </c>
      <c r="E1214" t="s">
        <v>968</v>
      </c>
      <c r="F1214" t="s">
        <v>967</v>
      </c>
      <c r="G1214" t="s">
        <v>961</v>
      </c>
      <c r="H1214">
        <v>3.4000000000000002E-2</v>
      </c>
      <c r="J1214">
        <v>108484135</v>
      </c>
      <c r="K1214" s="2">
        <v>46143</v>
      </c>
      <c r="L1214">
        <v>21</v>
      </c>
      <c r="M1214">
        <v>2</v>
      </c>
      <c r="N1214">
        <v>0</v>
      </c>
      <c r="O1214">
        <v>1</v>
      </c>
      <c r="P1214" t="s">
        <v>7</v>
      </c>
    </row>
    <row r="1215" spans="1:19">
      <c r="A1215" t="s">
        <v>754</v>
      </c>
      <c r="B1215" t="s">
        <v>965</v>
      </c>
      <c r="C1215">
        <v>0</v>
      </c>
      <c r="E1215" t="s">
        <v>1023</v>
      </c>
      <c r="F1215" t="s">
        <v>1020</v>
      </c>
      <c r="G1215" t="s">
        <v>961</v>
      </c>
      <c r="H1215">
        <v>0.66500000000000004</v>
      </c>
      <c r="J1215">
        <v>106406717</v>
      </c>
      <c r="K1215" s="2">
        <v>44124</v>
      </c>
      <c r="L1215">
        <v>21</v>
      </c>
      <c r="M1215">
        <v>1</v>
      </c>
      <c r="N1215">
        <v>7</v>
      </c>
      <c r="O1215">
        <v>1</v>
      </c>
      <c r="P1215" t="s">
        <v>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2A76AE-0675-4708-A4B8-3B450A88943B}">
  <sheetPr codeName="Sheet9"/>
  <dimension ref="A1:AB1215"/>
  <sheetViews>
    <sheetView zoomScaleNormal="100" workbookViewId="0">
      <pane ySplit="1" topLeftCell="A2" activePane="bottomLeft" state="frozen"/>
      <selection sqref="A1:N1"/>
      <selection pane="bottomLeft"/>
    </sheetView>
  </sheetViews>
  <sheetFormatPr defaultRowHeight="14.4"/>
  <cols>
    <col min="1" max="1" width="10.3671875" bestFit="1" customWidth="1"/>
    <col min="2" max="2" width="25.62890625" bestFit="1" customWidth="1"/>
    <col min="3" max="3" width="5.62890625" bestFit="1" customWidth="1"/>
    <col min="4" max="4" width="7.62890625" bestFit="1" customWidth="1"/>
    <col min="5" max="5" width="25.7890625" bestFit="1" customWidth="1"/>
    <col min="6" max="6" width="14.47265625" bestFit="1" customWidth="1"/>
    <col min="7" max="7" width="12.1015625" bestFit="1" customWidth="1"/>
    <col min="8" max="8" width="7.62890625" bestFit="1" customWidth="1"/>
    <col min="9" max="9" width="3.47265625" bestFit="1" customWidth="1"/>
    <col min="10" max="10" width="5.15625" bestFit="1" customWidth="1"/>
    <col min="11" max="11" width="9.62890625" bestFit="1" customWidth="1"/>
    <col min="12" max="12" width="10.15625" bestFit="1" customWidth="1"/>
    <col min="13" max="13" width="3.7890625" bestFit="1" customWidth="1"/>
    <col min="14" max="14" width="3.89453125" bestFit="1" customWidth="1"/>
    <col min="15" max="15" width="3.7890625" bestFit="1" customWidth="1"/>
    <col min="16" max="16" width="3.734375" bestFit="1" customWidth="1"/>
    <col min="17" max="17" width="3.7890625" bestFit="1" customWidth="1"/>
    <col min="18" max="18" width="9.62890625" bestFit="1" customWidth="1"/>
    <col min="19" max="19" width="10.62890625" bestFit="1" customWidth="1"/>
    <col min="20" max="20" width="16.62890625" bestFit="1" customWidth="1"/>
    <col min="21" max="21" width="6.1015625" bestFit="1" customWidth="1"/>
    <col min="22" max="22" width="11.68359375" bestFit="1" customWidth="1"/>
    <col min="23" max="23" width="12.5234375" bestFit="1" customWidth="1"/>
    <col min="24" max="24" width="10.15625" bestFit="1" customWidth="1"/>
    <col min="25" max="25" width="10.15625" customWidth="1"/>
    <col min="26" max="26" width="5.26171875" bestFit="1" customWidth="1"/>
    <col min="27" max="27" width="14.7890625" bestFit="1" customWidth="1"/>
    <col min="28" max="28" width="66.7890625" bestFit="1" customWidth="1"/>
    <col min="29" max="29" width="52" bestFit="1" customWidth="1"/>
    <col min="30" max="30" width="5.734375" bestFit="1" customWidth="1"/>
    <col min="31" max="31" width="42" bestFit="1" customWidth="1"/>
    <col min="32" max="32" width="66.7890625" bestFit="1" customWidth="1"/>
    <col min="33" max="33" width="52" bestFit="1" customWidth="1"/>
    <col min="34" max="34" width="5.734375" bestFit="1" customWidth="1"/>
    <col min="35" max="35" width="42" bestFit="1" customWidth="1"/>
    <col min="36" max="36" width="66.7890625" bestFit="1" customWidth="1"/>
    <col min="37" max="37" width="52" bestFit="1" customWidth="1"/>
    <col min="38" max="38" width="5.734375" bestFit="1" customWidth="1"/>
    <col min="39" max="39" width="42" bestFit="1" customWidth="1"/>
    <col min="40" max="40" width="66.7890625" bestFit="1" customWidth="1"/>
    <col min="41" max="41" width="52.7890625" bestFit="1" customWidth="1"/>
    <col min="42" max="42" width="5.734375" bestFit="1" customWidth="1"/>
    <col min="43" max="43" width="42" bestFit="1" customWidth="1"/>
    <col min="44" max="44" width="15.734375" bestFit="1" customWidth="1"/>
    <col min="45" max="45" width="12.7890625" bestFit="1" customWidth="1"/>
    <col min="46" max="46" width="5.26171875" bestFit="1" customWidth="1"/>
    <col min="47" max="47" width="14.7890625" bestFit="1" customWidth="1"/>
    <col min="48" max="48" width="66.7890625" bestFit="1" customWidth="1"/>
    <col min="49" max="49" width="52.15625" bestFit="1" customWidth="1"/>
    <col min="50" max="50" width="5.26171875" bestFit="1" customWidth="1"/>
    <col min="51" max="51" width="14.7890625" bestFit="1" customWidth="1"/>
    <col min="52" max="52" width="15.734375" bestFit="1" customWidth="1"/>
    <col min="53" max="53" width="12.7890625" bestFit="1" customWidth="1"/>
    <col min="54" max="54" width="5.26171875" bestFit="1" customWidth="1"/>
    <col min="55" max="55" width="14.7890625" bestFit="1" customWidth="1"/>
    <col min="56" max="56" width="15.734375" bestFit="1" customWidth="1"/>
    <col min="57" max="57" width="12.7890625" bestFit="1" customWidth="1"/>
    <col min="58" max="58" width="5.26171875" bestFit="1" customWidth="1"/>
    <col min="59" max="59" width="14.7890625" bestFit="1" customWidth="1"/>
    <col min="60" max="60" width="66.7890625" bestFit="1" customWidth="1"/>
    <col min="61" max="61" width="52.15625" bestFit="1" customWidth="1"/>
    <col min="62" max="62" width="5.734375" bestFit="1" customWidth="1"/>
    <col min="63" max="63" width="42" bestFit="1" customWidth="1"/>
    <col min="64" max="64" width="15.734375" bestFit="1" customWidth="1"/>
    <col min="65" max="65" width="12.7890625" bestFit="1" customWidth="1"/>
    <col min="66" max="66" width="5.26171875" bestFit="1" customWidth="1"/>
    <col min="67" max="67" width="14.7890625" bestFit="1" customWidth="1"/>
    <col min="68" max="68" width="15.734375" bestFit="1" customWidth="1"/>
    <col min="69" max="69" width="12.7890625" bestFit="1" customWidth="1"/>
    <col min="70" max="70" width="5.26171875" bestFit="1" customWidth="1"/>
    <col min="71" max="71" width="14.7890625" bestFit="1" customWidth="1"/>
    <col min="72" max="72" width="15.734375" bestFit="1" customWidth="1"/>
    <col min="73" max="73" width="12.7890625" bestFit="1" customWidth="1"/>
    <col min="74" max="74" width="5.26171875" bestFit="1" customWidth="1"/>
    <col min="75" max="75" width="14.7890625" bestFit="1" customWidth="1"/>
    <col min="76" max="76" width="15.734375" bestFit="1" customWidth="1"/>
    <col min="77" max="77" width="12.7890625" bestFit="1" customWidth="1"/>
    <col min="78" max="78" width="5.26171875" bestFit="1" customWidth="1"/>
    <col min="79" max="79" width="14.7890625" bestFit="1" customWidth="1"/>
    <col min="80" max="80" width="66.7890625" bestFit="1" customWidth="1"/>
    <col min="81" max="81" width="52.15625" bestFit="1" customWidth="1"/>
    <col min="82" max="82" width="5.734375" bestFit="1" customWidth="1"/>
    <col min="83" max="83" width="42" bestFit="1" customWidth="1"/>
    <col min="84" max="84" width="15.734375" bestFit="1" customWidth="1"/>
    <col min="85" max="85" width="12.7890625" bestFit="1" customWidth="1"/>
    <col min="86" max="86" width="5.26171875" bestFit="1" customWidth="1"/>
    <col min="87" max="87" width="14.7890625" bestFit="1" customWidth="1"/>
    <col min="88" max="88" width="15.734375" bestFit="1" customWidth="1"/>
    <col min="89" max="89" width="12.7890625" bestFit="1" customWidth="1"/>
    <col min="90" max="90" width="5.26171875" bestFit="1" customWidth="1"/>
    <col min="91" max="91" width="14.7890625" bestFit="1" customWidth="1"/>
    <col min="92" max="92" width="66.7890625" bestFit="1" customWidth="1"/>
    <col min="93" max="93" width="52.15625" bestFit="1" customWidth="1"/>
    <col min="94" max="94" width="5.734375" bestFit="1" customWidth="1"/>
    <col min="95" max="95" width="42" bestFit="1" customWidth="1"/>
    <col min="96" max="96" width="15.734375" bestFit="1" customWidth="1"/>
    <col min="97" max="97" width="12.7890625" bestFit="1" customWidth="1"/>
    <col min="98" max="98" width="5.26171875" bestFit="1" customWidth="1"/>
    <col min="99" max="99" width="14.7890625" bestFit="1" customWidth="1"/>
    <col min="100" max="100" width="15.734375" bestFit="1" customWidth="1"/>
    <col min="101" max="101" width="12.7890625" bestFit="1" customWidth="1"/>
    <col min="102" max="102" width="14.26171875" bestFit="1" customWidth="1"/>
    <col min="103" max="105" width="14.26171875" customWidth="1"/>
    <col min="106" max="106" width="22.47265625" bestFit="1" customWidth="1"/>
    <col min="107" max="109" width="22.47265625" customWidth="1"/>
    <col min="110" max="110" width="8.5234375" bestFit="1" customWidth="1"/>
    <col min="111" max="111" width="15.7890625" bestFit="1" customWidth="1"/>
    <col min="112" max="112" width="18.7890625" bestFit="1" customWidth="1"/>
    <col min="113" max="113" width="16" bestFit="1" customWidth="1"/>
    <col min="114" max="114" width="22.47265625" bestFit="1" customWidth="1"/>
    <col min="115" max="117" width="22.47265625" customWidth="1"/>
    <col min="118" max="118" width="8.5234375" bestFit="1" customWidth="1"/>
    <col min="119" max="119" width="15.7890625" bestFit="1" customWidth="1"/>
    <col min="120" max="120" width="18.7890625" bestFit="1" customWidth="1"/>
    <col min="121" max="121" width="16" bestFit="1" customWidth="1"/>
    <col min="122" max="122" width="12.47265625" bestFit="1" customWidth="1"/>
    <col min="123" max="125" width="12.47265625" customWidth="1"/>
    <col min="126" max="126" width="14.26171875" bestFit="1" customWidth="1"/>
    <col min="127" max="128" width="14.26171875" customWidth="1"/>
    <col min="129" max="129" width="22.47265625" bestFit="1" customWidth="1"/>
    <col min="130" max="132" width="22.47265625" customWidth="1"/>
    <col min="133" max="133" width="5.26171875" bestFit="1" customWidth="1"/>
    <col min="134" max="134" width="14.7890625" bestFit="1" customWidth="1"/>
    <col min="135" max="135" width="15.7890625" bestFit="1" customWidth="1"/>
    <col min="136" max="136" width="18.7890625" bestFit="1" customWidth="1"/>
    <col min="137" max="137" width="16" bestFit="1" customWidth="1"/>
    <col min="138" max="140" width="12.47265625" customWidth="1"/>
    <col min="141" max="141" width="14.26171875" bestFit="1" customWidth="1"/>
    <col min="142" max="143" width="14.26171875" customWidth="1"/>
    <col min="144" max="144" width="22.47265625" bestFit="1" customWidth="1"/>
    <col min="145" max="146" width="22.47265625" customWidth="1"/>
    <col min="147" max="147" width="21.5234375" bestFit="1" customWidth="1"/>
    <col min="148" max="148" width="66.7890625" bestFit="1" customWidth="1"/>
    <col min="149" max="149" width="52.15625" bestFit="1" customWidth="1"/>
    <col min="150" max="150" width="5.734375" bestFit="1" customWidth="1"/>
  </cols>
  <sheetData>
    <row r="1" spans="1:28">
      <c r="A1" t="s">
        <v>742</v>
      </c>
      <c r="B1" t="s">
        <v>743</v>
      </c>
      <c r="C1" t="s">
        <v>744</v>
      </c>
      <c r="D1" t="s">
        <v>745</v>
      </c>
      <c r="E1" t="s">
        <v>746</v>
      </c>
      <c r="F1" t="s">
        <v>747</v>
      </c>
      <c r="G1" t="s">
        <v>748</v>
      </c>
      <c r="H1" t="s">
        <v>749</v>
      </c>
      <c r="I1" t="s">
        <v>750</v>
      </c>
      <c r="J1" t="s">
        <v>766</v>
      </c>
      <c r="K1" t="s">
        <v>0</v>
      </c>
      <c r="L1" t="s">
        <v>1</v>
      </c>
      <c r="M1" t="s">
        <v>2</v>
      </c>
      <c r="N1" t="s">
        <v>3</v>
      </c>
      <c r="O1" t="s">
        <v>4</v>
      </c>
      <c r="P1" t="s">
        <v>5</v>
      </c>
      <c r="Q1" t="s">
        <v>6</v>
      </c>
      <c r="R1" t="s">
        <v>751</v>
      </c>
      <c r="S1" t="s">
        <v>752</v>
      </c>
      <c r="T1" t="s">
        <v>753</v>
      </c>
      <c r="U1" t="s">
        <v>367</v>
      </c>
      <c r="V1" t="s">
        <v>767</v>
      </c>
      <c r="W1" t="s">
        <v>768</v>
      </c>
      <c r="X1" t="s">
        <v>777</v>
      </c>
      <c r="Y1" t="s">
        <v>778</v>
      </c>
      <c r="Z1" t="s">
        <v>779</v>
      </c>
      <c r="AA1" t="s">
        <v>716</v>
      </c>
      <c r="AB1" t="s">
        <v>1204</v>
      </c>
    </row>
    <row r="2" spans="1:28" s="625" customFormat="1">
      <c r="A2" s="624" t="s">
        <v>1021</v>
      </c>
      <c r="B2" t="s">
        <v>1032</v>
      </c>
      <c r="C2">
        <v>8.9999999999999993E-3</v>
      </c>
      <c r="D2" t="s">
        <v>763</v>
      </c>
      <c r="E2" t="s">
        <v>965</v>
      </c>
      <c r="F2" t="s">
        <v>1040</v>
      </c>
      <c r="G2" t="s">
        <v>1032</v>
      </c>
      <c r="H2">
        <v>0.111</v>
      </c>
      <c r="I2"/>
      <c r="J2"/>
      <c r="K2">
        <v>107570219</v>
      </c>
      <c r="L2" s="626">
        <v>45280</v>
      </c>
      <c r="M2">
        <v>24</v>
      </c>
      <c r="N2">
        <v>1</v>
      </c>
      <c r="O2">
        <v>0</v>
      </c>
      <c r="P2">
        <v>1</v>
      </c>
      <c r="Q2" t="s">
        <v>7</v>
      </c>
      <c r="R2"/>
      <c r="S2"/>
      <c r="T2"/>
      <c r="U2"/>
      <c r="V2"/>
      <c r="W2"/>
      <c r="X2"/>
      <c r="Y2"/>
      <c r="Z2"/>
      <c r="AA2"/>
      <c r="AB2"/>
    </row>
    <row r="3" spans="1:28">
      <c r="A3" t="s">
        <v>1021</v>
      </c>
      <c r="B3" t="s">
        <v>1032</v>
      </c>
      <c r="C3">
        <v>8.9999999999999993E-3</v>
      </c>
      <c r="D3" t="s">
        <v>6</v>
      </c>
      <c r="E3" t="s">
        <v>965</v>
      </c>
      <c r="F3" t="s">
        <v>979</v>
      </c>
      <c r="G3" t="s">
        <v>1032</v>
      </c>
      <c r="H3">
        <v>0.111</v>
      </c>
      <c r="J3" s="604"/>
      <c r="K3">
        <v>105881690</v>
      </c>
      <c r="L3" s="2">
        <v>43591</v>
      </c>
      <c r="M3">
        <v>21</v>
      </c>
      <c r="N3">
        <v>1</v>
      </c>
      <c r="P3">
        <v>1</v>
      </c>
      <c r="Q3" t="s">
        <v>3</v>
      </c>
    </row>
    <row r="4" spans="1:28">
      <c r="A4" t="s">
        <v>1021</v>
      </c>
      <c r="B4" t="s">
        <v>1032</v>
      </c>
      <c r="C4">
        <v>5.0000000000000001E-3</v>
      </c>
      <c r="D4" t="s">
        <v>6</v>
      </c>
      <c r="E4" t="s">
        <v>965</v>
      </c>
      <c r="F4" t="s">
        <v>979</v>
      </c>
      <c r="G4" t="s">
        <v>1032</v>
      </c>
      <c r="H4">
        <v>0.115</v>
      </c>
      <c r="J4" s="604"/>
      <c r="K4">
        <v>106231667</v>
      </c>
      <c r="L4" s="2">
        <v>43905</v>
      </c>
      <c r="M4">
        <v>2</v>
      </c>
      <c r="N4">
        <v>2</v>
      </c>
      <c r="O4">
        <v>7</v>
      </c>
      <c r="P4">
        <v>5</v>
      </c>
      <c r="Q4" t="s">
        <v>7</v>
      </c>
    </row>
    <row r="5" spans="1:28">
      <c r="A5" t="s">
        <v>1021</v>
      </c>
      <c r="B5" t="s">
        <v>1032</v>
      </c>
      <c r="C5">
        <v>0</v>
      </c>
      <c r="E5" t="s">
        <v>965</v>
      </c>
      <c r="F5" t="s">
        <v>1126</v>
      </c>
      <c r="G5" t="s">
        <v>1032</v>
      </c>
      <c r="H5">
        <v>0.12</v>
      </c>
      <c r="J5" s="604"/>
      <c r="K5">
        <v>107450597</v>
      </c>
      <c r="L5" s="2">
        <v>45138</v>
      </c>
      <c r="M5">
        <v>30</v>
      </c>
      <c r="N5">
        <v>1</v>
      </c>
      <c r="O5">
        <v>0</v>
      </c>
      <c r="P5">
        <v>1</v>
      </c>
      <c r="Q5" t="s">
        <v>7</v>
      </c>
    </row>
    <row r="6" spans="1:28">
      <c r="A6" t="s">
        <v>1021</v>
      </c>
      <c r="B6" t="s">
        <v>1032</v>
      </c>
      <c r="C6">
        <v>0</v>
      </c>
      <c r="E6" t="s">
        <v>965</v>
      </c>
      <c r="F6" t="s">
        <v>1170</v>
      </c>
      <c r="G6" t="s">
        <v>1032</v>
      </c>
      <c r="H6">
        <v>0.12</v>
      </c>
      <c r="J6" s="605"/>
      <c r="K6">
        <v>107513704</v>
      </c>
      <c r="L6" s="2">
        <v>45234</v>
      </c>
      <c r="M6">
        <v>30</v>
      </c>
      <c r="N6">
        <v>1</v>
      </c>
      <c r="O6">
        <v>7</v>
      </c>
      <c r="P6">
        <v>4</v>
      </c>
      <c r="Q6" t="s">
        <v>3</v>
      </c>
      <c r="U6" s="603"/>
    </row>
    <row r="7" spans="1:28">
      <c r="A7" t="s">
        <v>1021</v>
      </c>
      <c r="B7" t="s">
        <v>1032</v>
      </c>
      <c r="C7">
        <v>0</v>
      </c>
      <c r="E7" t="s">
        <v>965</v>
      </c>
      <c r="F7" t="s">
        <v>1040</v>
      </c>
      <c r="G7" t="s">
        <v>1032</v>
      </c>
      <c r="H7">
        <v>0.12</v>
      </c>
      <c r="J7" s="605"/>
      <c r="K7">
        <v>107826061</v>
      </c>
      <c r="L7" s="2">
        <v>45525</v>
      </c>
      <c r="M7">
        <v>24</v>
      </c>
      <c r="N7">
        <v>1</v>
      </c>
      <c r="O7">
        <v>0</v>
      </c>
      <c r="P7">
        <v>1</v>
      </c>
      <c r="Q7" t="s">
        <v>7</v>
      </c>
      <c r="U7" s="603"/>
    </row>
    <row r="8" spans="1:28">
      <c r="A8" t="s">
        <v>1021</v>
      </c>
      <c r="B8" t="s">
        <v>1032</v>
      </c>
      <c r="C8">
        <v>0</v>
      </c>
      <c r="E8" t="s">
        <v>965</v>
      </c>
      <c r="F8" t="s">
        <v>1040</v>
      </c>
      <c r="G8" t="s">
        <v>1032</v>
      </c>
      <c r="H8">
        <v>0.12</v>
      </c>
      <c r="J8" s="604"/>
      <c r="K8">
        <v>105432180</v>
      </c>
      <c r="L8" s="2">
        <v>43163</v>
      </c>
      <c r="M8">
        <v>30</v>
      </c>
      <c r="N8">
        <v>1</v>
      </c>
      <c r="O8">
        <v>7</v>
      </c>
      <c r="P8">
        <v>1</v>
      </c>
      <c r="Q8" t="s">
        <v>7</v>
      </c>
    </row>
    <row r="9" spans="1:28">
      <c r="A9" t="s">
        <v>1021</v>
      </c>
      <c r="B9" t="s">
        <v>1032</v>
      </c>
      <c r="C9">
        <v>0</v>
      </c>
      <c r="E9" t="s">
        <v>965</v>
      </c>
      <c r="F9" t="s">
        <v>1040</v>
      </c>
      <c r="G9" t="s">
        <v>1032</v>
      </c>
      <c r="H9">
        <v>0.12</v>
      </c>
      <c r="J9" s="605"/>
      <c r="K9">
        <v>106285437</v>
      </c>
      <c r="L9" s="2">
        <v>43980</v>
      </c>
      <c r="M9">
        <v>30</v>
      </c>
      <c r="N9">
        <v>1</v>
      </c>
      <c r="O9">
        <v>7</v>
      </c>
      <c r="P9">
        <v>1</v>
      </c>
      <c r="Q9" t="s">
        <v>3</v>
      </c>
      <c r="U9" s="603"/>
    </row>
    <row r="10" spans="1:28">
      <c r="A10" t="s">
        <v>1021</v>
      </c>
      <c r="B10" t="s">
        <v>1032</v>
      </c>
      <c r="C10">
        <v>0</v>
      </c>
      <c r="D10" t="s">
        <v>763</v>
      </c>
      <c r="E10" t="s">
        <v>965</v>
      </c>
      <c r="F10" t="s">
        <v>1035</v>
      </c>
      <c r="G10" t="s">
        <v>1032</v>
      </c>
      <c r="H10">
        <v>0.12</v>
      </c>
      <c r="J10" s="604"/>
      <c r="K10">
        <v>106802237</v>
      </c>
      <c r="L10" s="2">
        <v>44454</v>
      </c>
      <c r="M10">
        <v>21</v>
      </c>
      <c r="N10">
        <v>1</v>
      </c>
      <c r="O10">
        <v>8</v>
      </c>
      <c r="P10">
        <v>1</v>
      </c>
      <c r="Q10" t="s">
        <v>7</v>
      </c>
    </row>
    <row r="11" spans="1:28">
      <c r="A11" t="s">
        <v>1021</v>
      </c>
      <c r="B11" t="s">
        <v>1032</v>
      </c>
      <c r="C11">
        <v>0</v>
      </c>
      <c r="E11" t="s">
        <v>965</v>
      </c>
      <c r="F11" t="s">
        <v>979</v>
      </c>
      <c r="G11" t="s">
        <v>1032</v>
      </c>
      <c r="H11">
        <v>0.12</v>
      </c>
      <c r="J11" s="604"/>
      <c r="K11">
        <v>107173208</v>
      </c>
      <c r="L11" s="2">
        <v>44476</v>
      </c>
      <c r="M11">
        <v>23</v>
      </c>
      <c r="N11">
        <v>2</v>
      </c>
      <c r="O11">
        <v>7</v>
      </c>
      <c r="P11">
        <v>1</v>
      </c>
      <c r="Q11" t="s">
        <v>7</v>
      </c>
    </row>
    <row r="12" spans="1:28">
      <c r="A12" t="s">
        <v>1021</v>
      </c>
      <c r="B12" t="s">
        <v>1032</v>
      </c>
      <c r="C12">
        <v>0</v>
      </c>
      <c r="E12" t="s">
        <v>965</v>
      </c>
      <c r="F12" t="s">
        <v>979</v>
      </c>
      <c r="G12" t="s">
        <v>1032</v>
      </c>
      <c r="H12">
        <v>0.12</v>
      </c>
      <c r="J12" s="605"/>
      <c r="K12">
        <v>105733619</v>
      </c>
      <c r="L12" s="2">
        <v>43441</v>
      </c>
      <c r="M12">
        <v>30</v>
      </c>
      <c r="N12">
        <v>1</v>
      </c>
      <c r="O12">
        <v>7</v>
      </c>
      <c r="P12">
        <v>1</v>
      </c>
      <c r="Q12" t="s">
        <v>7</v>
      </c>
      <c r="U12" s="603"/>
    </row>
    <row r="13" spans="1:28">
      <c r="A13" t="s">
        <v>1021</v>
      </c>
      <c r="B13" t="s">
        <v>1032</v>
      </c>
      <c r="C13">
        <v>0</v>
      </c>
      <c r="E13" t="s">
        <v>965</v>
      </c>
      <c r="F13" t="s">
        <v>1071</v>
      </c>
      <c r="G13" t="s">
        <v>1032</v>
      </c>
      <c r="H13">
        <v>0.12</v>
      </c>
      <c r="J13" s="605"/>
      <c r="K13">
        <v>105233238</v>
      </c>
      <c r="L13" s="2">
        <v>42978</v>
      </c>
      <c r="M13">
        <v>30</v>
      </c>
      <c r="N13">
        <v>1</v>
      </c>
      <c r="O13">
        <v>7</v>
      </c>
      <c r="P13">
        <v>1</v>
      </c>
      <c r="Q13" t="s">
        <v>7</v>
      </c>
      <c r="U13" s="603"/>
    </row>
    <row r="14" spans="1:28">
      <c r="A14" t="s">
        <v>1021</v>
      </c>
      <c r="B14" t="s">
        <v>1032</v>
      </c>
      <c r="C14">
        <v>2E-3</v>
      </c>
      <c r="D14" t="s">
        <v>757</v>
      </c>
      <c r="E14" t="s">
        <v>965</v>
      </c>
      <c r="F14" t="s">
        <v>1071</v>
      </c>
      <c r="G14" t="s">
        <v>1032</v>
      </c>
      <c r="H14">
        <v>0.122</v>
      </c>
      <c r="J14" s="604"/>
      <c r="K14">
        <v>105792464</v>
      </c>
      <c r="L14" s="2">
        <v>43519</v>
      </c>
      <c r="M14">
        <v>1</v>
      </c>
      <c r="N14">
        <v>2</v>
      </c>
      <c r="O14">
        <v>7</v>
      </c>
      <c r="P14">
        <v>4</v>
      </c>
      <c r="Q14" t="s">
        <v>7</v>
      </c>
    </row>
    <row r="15" spans="1:28">
      <c r="A15" t="s">
        <v>1021</v>
      </c>
      <c r="B15" t="s">
        <v>1032</v>
      </c>
      <c r="C15">
        <v>4.0000000000000001E-3</v>
      </c>
      <c r="D15" t="s">
        <v>764</v>
      </c>
      <c r="E15" t="s">
        <v>965</v>
      </c>
      <c r="F15" t="s">
        <v>1071</v>
      </c>
      <c r="G15" t="s">
        <v>1032</v>
      </c>
      <c r="H15">
        <v>0.124</v>
      </c>
      <c r="J15" s="604"/>
      <c r="K15">
        <v>108385461</v>
      </c>
      <c r="L15" s="2">
        <v>46051</v>
      </c>
      <c r="M15">
        <v>21</v>
      </c>
      <c r="N15">
        <v>1</v>
      </c>
      <c r="O15">
        <v>7</v>
      </c>
      <c r="P15">
        <v>1</v>
      </c>
      <c r="Q15" t="s">
        <v>3</v>
      </c>
    </row>
    <row r="16" spans="1:28">
      <c r="A16" t="s">
        <v>1021</v>
      </c>
      <c r="B16" t="s">
        <v>1032</v>
      </c>
      <c r="C16">
        <v>8.9999999999999993E-3</v>
      </c>
      <c r="D16" t="s">
        <v>757</v>
      </c>
      <c r="E16" t="s">
        <v>965</v>
      </c>
      <c r="F16" t="s">
        <v>1040</v>
      </c>
      <c r="G16" t="s">
        <v>1032</v>
      </c>
      <c r="H16">
        <v>0.129</v>
      </c>
      <c r="J16" s="604"/>
      <c r="K16">
        <v>108061554</v>
      </c>
      <c r="L16" s="2">
        <v>45744</v>
      </c>
      <c r="M16">
        <v>1</v>
      </c>
      <c r="N16">
        <v>1</v>
      </c>
      <c r="O16">
        <v>0</v>
      </c>
      <c r="P16">
        <v>4</v>
      </c>
      <c r="Q16" t="s">
        <v>7</v>
      </c>
    </row>
    <row r="17" spans="1:28">
      <c r="A17" t="s">
        <v>1021</v>
      </c>
      <c r="B17" t="s">
        <v>1032</v>
      </c>
      <c r="C17">
        <v>1.2E-2</v>
      </c>
      <c r="D17" t="s">
        <v>757</v>
      </c>
      <c r="E17" t="s">
        <v>965</v>
      </c>
      <c r="F17" t="s">
        <v>1126</v>
      </c>
      <c r="G17" t="s">
        <v>1032</v>
      </c>
      <c r="H17">
        <v>0.13200000000000001</v>
      </c>
      <c r="J17" s="604"/>
      <c r="K17">
        <v>106521731</v>
      </c>
      <c r="L17" s="2">
        <v>44229</v>
      </c>
      <c r="M17">
        <v>1</v>
      </c>
      <c r="N17">
        <v>1</v>
      </c>
      <c r="O17">
        <v>12</v>
      </c>
      <c r="P17">
        <v>1</v>
      </c>
      <c r="Q17" t="s">
        <v>7</v>
      </c>
    </row>
    <row r="18" spans="1:28">
      <c r="A18" t="s">
        <v>1021</v>
      </c>
      <c r="B18" t="s">
        <v>1032</v>
      </c>
      <c r="C18">
        <v>1.9E-2</v>
      </c>
      <c r="D18" t="s">
        <v>757</v>
      </c>
      <c r="E18" t="s">
        <v>965</v>
      </c>
      <c r="F18" t="s">
        <v>1040</v>
      </c>
      <c r="G18" t="s">
        <v>1032</v>
      </c>
      <c r="H18">
        <v>0.13900000000000001</v>
      </c>
      <c r="K18">
        <v>107201549</v>
      </c>
      <c r="L18" s="2">
        <v>44914</v>
      </c>
      <c r="M18">
        <v>29</v>
      </c>
      <c r="N18">
        <v>1</v>
      </c>
      <c r="O18">
        <v>0</v>
      </c>
      <c r="P18">
        <v>5</v>
      </c>
      <c r="Q18" t="s">
        <v>3</v>
      </c>
    </row>
    <row r="19" spans="1:28" s="622" customFormat="1">
      <c r="A19" s="621" t="s">
        <v>1021</v>
      </c>
      <c r="B19" t="s">
        <v>1032</v>
      </c>
      <c r="C19">
        <v>2.3E-2</v>
      </c>
      <c r="D19" t="s">
        <v>764</v>
      </c>
      <c r="E19" t="s">
        <v>965</v>
      </c>
      <c r="F19" t="s">
        <v>1083</v>
      </c>
      <c r="G19" t="s">
        <v>1032</v>
      </c>
      <c r="H19">
        <v>0.14299999999999999</v>
      </c>
      <c r="I19"/>
      <c r="J19"/>
      <c r="K19">
        <v>106802414</v>
      </c>
      <c r="L19" s="623">
        <v>44526</v>
      </c>
      <c r="M19">
        <v>21</v>
      </c>
      <c r="N19">
        <v>1</v>
      </c>
      <c r="O19">
        <v>0</v>
      </c>
      <c r="P19">
        <v>1</v>
      </c>
      <c r="Q19" t="s">
        <v>3</v>
      </c>
      <c r="R19"/>
      <c r="S19"/>
      <c r="T19"/>
      <c r="U19"/>
      <c r="V19"/>
      <c r="W19"/>
      <c r="X19"/>
      <c r="Y19"/>
      <c r="Z19"/>
      <c r="AA19"/>
      <c r="AB19"/>
    </row>
    <row r="20" spans="1:28">
      <c r="A20" t="s">
        <v>1021</v>
      </c>
      <c r="B20" t="s">
        <v>1033</v>
      </c>
      <c r="C20">
        <v>1E-3</v>
      </c>
      <c r="D20" t="s">
        <v>764</v>
      </c>
      <c r="E20" t="s">
        <v>965</v>
      </c>
      <c r="F20" t="s">
        <v>1071</v>
      </c>
      <c r="G20" t="s">
        <v>1033</v>
      </c>
      <c r="H20">
        <v>0.60499999999999998</v>
      </c>
      <c r="I20" t="s">
        <v>61</v>
      </c>
      <c r="K20">
        <v>108068943</v>
      </c>
      <c r="L20" s="2">
        <v>45753</v>
      </c>
      <c r="M20">
        <v>21</v>
      </c>
      <c r="N20">
        <v>1</v>
      </c>
      <c r="O20">
        <v>7</v>
      </c>
      <c r="P20">
        <v>4</v>
      </c>
      <c r="Q20" t="s">
        <v>7</v>
      </c>
      <c r="U20" s="603"/>
    </row>
    <row r="21" spans="1:28">
      <c r="A21" t="s">
        <v>1021</v>
      </c>
      <c r="B21" t="s">
        <v>1033</v>
      </c>
      <c r="C21">
        <v>0</v>
      </c>
      <c r="E21" t="s">
        <v>965</v>
      </c>
      <c r="F21" t="s">
        <v>1083</v>
      </c>
      <c r="G21" t="s">
        <v>1033</v>
      </c>
      <c r="H21">
        <v>999.99900000000002</v>
      </c>
      <c r="J21" s="606"/>
      <c r="K21">
        <v>107058045</v>
      </c>
      <c r="L21" s="2">
        <v>44800</v>
      </c>
      <c r="M21">
        <v>21</v>
      </c>
      <c r="N21">
        <v>1</v>
      </c>
      <c r="O21">
        <v>7</v>
      </c>
      <c r="P21">
        <v>4</v>
      </c>
      <c r="Q21" t="s">
        <v>7</v>
      </c>
      <c r="U21" s="603"/>
    </row>
    <row r="22" spans="1:28">
      <c r="A22" t="s">
        <v>1021</v>
      </c>
      <c r="B22" t="s">
        <v>1033</v>
      </c>
      <c r="C22">
        <v>0</v>
      </c>
      <c r="E22" t="s">
        <v>965</v>
      </c>
      <c r="F22" t="s">
        <v>1083</v>
      </c>
      <c r="G22" t="s">
        <v>1033</v>
      </c>
      <c r="H22">
        <v>999.99900000000002</v>
      </c>
      <c r="K22">
        <v>105353830</v>
      </c>
      <c r="L22" s="2">
        <v>43099</v>
      </c>
      <c r="M22">
        <v>30</v>
      </c>
      <c r="N22">
        <v>1</v>
      </c>
      <c r="O22">
        <v>7</v>
      </c>
      <c r="P22">
        <v>1</v>
      </c>
      <c r="Q22" t="s">
        <v>3</v>
      </c>
    </row>
    <row r="23" spans="1:28" s="615" customFormat="1">
      <c r="A23" s="614" t="s">
        <v>1021</v>
      </c>
      <c r="B23" t="s">
        <v>967</v>
      </c>
      <c r="C23">
        <v>0</v>
      </c>
      <c r="D23"/>
      <c r="E23" t="s">
        <v>1100</v>
      </c>
      <c r="F23" t="s">
        <v>1076</v>
      </c>
      <c r="G23" t="s">
        <v>967</v>
      </c>
      <c r="H23">
        <v>999.99900000000002</v>
      </c>
      <c r="I23"/>
      <c r="J23" t="s">
        <v>773</v>
      </c>
      <c r="K23">
        <v>105486834</v>
      </c>
      <c r="L23" s="616">
        <v>43224</v>
      </c>
      <c r="M23">
        <v>14</v>
      </c>
      <c r="N23">
        <v>1</v>
      </c>
      <c r="O23">
        <v>7</v>
      </c>
      <c r="P23">
        <v>1</v>
      </c>
      <c r="Q23" t="s">
        <v>3</v>
      </c>
      <c r="R23">
        <v>35.178255</v>
      </c>
      <c r="S23">
        <v>-79.428002000000006</v>
      </c>
      <c r="T23" t="s">
        <v>1077</v>
      </c>
      <c r="U23" t="s">
        <v>367</v>
      </c>
      <c r="V23">
        <v>5.1000000000000004E-3</v>
      </c>
      <c r="W23" t="s">
        <v>1205</v>
      </c>
      <c r="X23" t="s">
        <v>1206</v>
      </c>
      <c r="Y23"/>
      <c r="Z23"/>
      <c r="AA23" t="s">
        <v>722</v>
      </c>
      <c r="AB23" t="s">
        <v>1207</v>
      </c>
    </row>
    <row r="24" spans="1:28">
      <c r="A24" t="s">
        <v>1021</v>
      </c>
      <c r="B24" t="s">
        <v>967</v>
      </c>
      <c r="C24">
        <v>0</v>
      </c>
      <c r="E24" t="s">
        <v>1093</v>
      </c>
      <c r="F24" t="s">
        <v>965</v>
      </c>
      <c r="G24" t="s">
        <v>967</v>
      </c>
      <c r="H24">
        <v>999.99900000000002</v>
      </c>
      <c r="J24" s="604" t="s">
        <v>1208</v>
      </c>
      <c r="K24">
        <v>107353411</v>
      </c>
      <c r="L24" s="2">
        <v>45079</v>
      </c>
      <c r="M24">
        <v>24</v>
      </c>
      <c r="N24">
        <v>1</v>
      </c>
      <c r="O24">
        <v>8</v>
      </c>
      <c r="P24">
        <v>1</v>
      </c>
      <c r="Q24" t="s">
        <v>7</v>
      </c>
      <c r="U24" s="603"/>
      <c r="W24" t="s">
        <v>1346</v>
      </c>
    </row>
    <row r="25" spans="1:28">
      <c r="A25" t="s">
        <v>1021</v>
      </c>
      <c r="B25" t="s">
        <v>967</v>
      </c>
      <c r="C25">
        <v>0.09</v>
      </c>
      <c r="D25" t="s">
        <v>6</v>
      </c>
      <c r="E25" t="s">
        <v>964</v>
      </c>
      <c r="F25" t="s">
        <v>1029</v>
      </c>
      <c r="G25" t="s">
        <v>967</v>
      </c>
      <c r="H25">
        <v>999.99900000000002</v>
      </c>
      <c r="J25" s="604"/>
      <c r="K25">
        <v>105984038</v>
      </c>
      <c r="L25" s="2">
        <v>43701</v>
      </c>
      <c r="M25">
        <v>2</v>
      </c>
      <c r="N25">
        <v>2</v>
      </c>
      <c r="O25">
        <v>0</v>
      </c>
      <c r="P25">
        <v>5</v>
      </c>
      <c r="Q25" t="s">
        <v>3</v>
      </c>
    </row>
    <row r="26" spans="1:28">
      <c r="A26" t="s">
        <v>1021</v>
      </c>
      <c r="B26" t="s">
        <v>967</v>
      </c>
      <c r="C26">
        <v>0.15</v>
      </c>
      <c r="D26" t="s">
        <v>6</v>
      </c>
      <c r="E26" t="s">
        <v>964</v>
      </c>
      <c r="F26" t="s">
        <v>1029</v>
      </c>
      <c r="G26" t="s">
        <v>967</v>
      </c>
      <c r="H26">
        <v>999.99900000000002</v>
      </c>
      <c r="K26">
        <v>106186244</v>
      </c>
      <c r="L26" s="2">
        <v>43852</v>
      </c>
      <c r="M26">
        <v>21</v>
      </c>
      <c r="N26">
        <v>1</v>
      </c>
      <c r="O26">
        <v>0</v>
      </c>
      <c r="P26">
        <v>1</v>
      </c>
      <c r="Q26" t="s">
        <v>7</v>
      </c>
    </row>
    <row r="27" spans="1:28" s="612" customFormat="1">
      <c r="A27" s="611" t="s">
        <v>1021</v>
      </c>
      <c r="B27" t="s">
        <v>1128</v>
      </c>
      <c r="C27">
        <v>0</v>
      </c>
      <c r="D27"/>
      <c r="E27" t="s">
        <v>967</v>
      </c>
      <c r="F27" t="s">
        <v>968</v>
      </c>
      <c r="G27" t="s">
        <v>967</v>
      </c>
      <c r="H27">
        <v>999.99900000000002</v>
      </c>
      <c r="I27"/>
      <c r="J27"/>
      <c r="K27">
        <v>106556313</v>
      </c>
      <c r="L27" s="613">
        <v>44269</v>
      </c>
      <c r="M27">
        <v>20</v>
      </c>
      <c r="N27">
        <v>1</v>
      </c>
      <c r="O27"/>
      <c r="P27">
        <v>1</v>
      </c>
      <c r="Q27"/>
      <c r="R27"/>
      <c r="S27"/>
      <c r="T27"/>
      <c r="U27"/>
      <c r="V27"/>
      <c r="W27"/>
      <c r="X27"/>
      <c r="Y27"/>
      <c r="Z27"/>
      <c r="AA27"/>
      <c r="AB27"/>
    </row>
    <row r="28" spans="1:28">
      <c r="A28" t="s">
        <v>1021</v>
      </c>
      <c r="B28" t="s">
        <v>1038</v>
      </c>
      <c r="C28">
        <v>0</v>
      </c>
      <c r="E28" t="s">
        <v>965</v>
      </c>
      <c r="G28" t="s">
        <v>965</v>
      </c>
      <c r="H28">
        <v>999.99900000000002</v>
      </c>
      <c r="K28">
        <v>108006858</v>
      </c>
      <c r="L28" s="2">
        <v>45688</v>
      </c>
      <c r="M28">
        <v>14</v>
      </c>
      <c r="N28">
        <v>1</v>
      </c>
      <c r="O28">
        <v>8</v>
      </c>
      <c r="P28">
        <v>1</v>
      </c>
      <c r="Q28" t="s">
        <v>3</v>
      </c>
      <c r="R28">
        <v>35.173740000000002</v>
      </c>
      <c r="S28">
        <v>-79.413404</v>
      </c>
      <c r="T28" t="s">
        <v>1060</v>
      </c>
      <c r="U28" t="s">
        <v>367</v>
      </c>
      <c r="V28">
        <v>0.87760000000000005</v>
      </c>
    </row>
    <row r="29" spans="1:28">
      <c r="A29" t="s">
        <v>1021</v>
      </c>
      <c r="B29" t="s">
        <v>1067</v>
      </c>
      <c r="C29">
        <v>0</v>
      </c>
      <c r="E29" t="s">
        <v>965</v>
      </c>
      <c r="G29" t="s">
        <v>965</v>
      </c>
      <c r="H29">
        <v>999.99900000000002</v>
      </c>
      <c r="K29">
        <v>105445166</v>
      </c>
      <c r="L29" s="2">
        <v>43188</v>
      </c>
      <c r="M29">
        <v>27</v>
      </c>
      <c r="N29">
        <v>1</v>
      </c>
      <c r="P29">
        <v>4</v>
      </c>
      <c r="Q29" t="s">
        <v>7</v>
      </c>
    </row>
    <row r="30" spans="1:28">
      <c r="A30" t="s">
        <v>1021</v>
      </c>
      <c r="B30" t="s">
        <v>965</v>
      </c>
      <c r="C30">
        <v>0.1</v>
      </c>
      <c r="D30" t="s">
        <v>756</v>
      </c>
      <c r="E30" t="s">
        <v>1072</v>
      </c>
      <c r="F30" t="s">
        <v>968</v>
      </c>
      <c r="G30" t="s">
        <v>965</v>
      </c>
      <c r="H30">
        <v>999.99900000000002</v>
      </c>
      <c r="K30">
        <v>107020381</v>
      </c>
      <c r="L30" s="2">
        <v>44761</v>
      </c>
      <c r="M30">
        <v>21</v>
      </c>
      <c r="N30">
        <v>1</v>
      </c>
      <c r="O30">
        <v>7</v>
      </c>
      <c r="P30">
        <v>1</v>
      </c>
      <c r="Q30" t="s">
        <v>7</v>
      </c>
    </row>
    <row r="31" spans="1:28">
      <c r="A31" t="s">
        <v>1021</v>
      </c>
      <c r="B31" t="s">
        <v>965</v>
      </c>
      <c r="C31">
        <v>0.14000000000000001</v>
      </c>
      <c r="D31" t="s">
        <v>764</v>
      </c>
      <c r="E31" t="s">
        <v>1083</v>
      </c>
      <c r="F31" t="s">
        <v>965</v>
      </c>
      <c r="G31" t="s">
        <v>965</v>
      </c>
      <c r="H31">
        <v>999.99900000000002</v>
      </c>
      <c r="K31">
        <v>107588638</v>
      </c>
      <c r="L31" s="2">
        <v>45300</v>
      </c>
      <c r="M31">
        <v>30</v>
      </c>
      <c r="N31">
        <v>2</v>
      </c>
      <c r="O31">
        <v>8</v>
      </c>
      <c r="P31">
        <v>1</v>
      </c>
      <c r="Q31" t="s">
        <v>7</v>
      </c>
    </row>
    <row r="32" spans="1:28">
      <c r="A32" t="s">
        <v>1021</v>
      </c>
      <c r="B32" t="s">
        <v>965</v>
      </c>
      <c r="C32">
        <v>0</v>
      </c>
      <c r="E32" t="s">
        <v>1038</v>
      </c>
      <c r="F32" t="s">
        <v>1064</v>
      </c>
      <c r="G32" t="s">
        <v>965</v>
      </c>
      <c r="H32">
        <v>999.99900000000002</v>
      </c>
      <c r="K32">
        <v>108545089</v>
      </c>
      <c r="L32" s="2">
        <v>46203</v>
      </c>
      <c r="M32">
        <v>30</v>
      </c>
      <c r="N32">
        <v>1</v>
      </c>
      <c r="O32">
        <v>0</v>
      </c>
      <c r="P32">
        <v>1</v>
      </c>
      <c r="Q32" t="s">
        <v>7</v>
      </c>
    </row>
    <row r="33" spans="1:21">
      <c r="A33" t="s">
        <v>1021</v>
      </c>
      <c r="B33" t="s">
        <v>965</v>
      </c>
      <c r="C33">
        <v>2E-3</v>
      </c>
      <c r="D33" t="s">
        <v>758</v>
      </c>
      <c r="E33" t="s">
        <v>1038</v>
      </c>
      <c r="F33" t="s">
        <v>1056</v>
      </c>
      <c r="G33" t="s">
        <v>965</v>
      </c>
      <c r="H33">
        <v>999.99900000000002</v>
      </c>
      <c r="K33">
        <v>107991129</v>
      </c>
      <c r="L33" s="2">
        <v>45672</v>
      </c>
      <c r="M33">
        <v>21</v>
      </c>
      <c r="N33">
        <v>1</v>
      </c>
      <c r="O33">
        <v>7</v>
      </c>
      <c r="P33">
        <v>1</v>
      </c>
      <c r="Q33" t="s">
        <v>7</v>
      </c>
      <c r="U33" s="603"/>
    </row>
    <row r="34" spans="1:21">
      <c r="A34" t="s">
        <v>1021</v>
      </c>
      <c r="B34" t="s">
        <v>965</v>
      </c>
      <c r="C34">
        <v>2.1000000000000001E-2</v>
      </c>
      <c r="D34" t="s">
        <v>762</v>
      </c>
      <c r="E34" t="s">
        <v>1038</v>
      </c>
      <c r="F34" t="s">
        <v>1056</v>
      </c>
      <c r="G34" t="s">
        <v>965</v>
      </c>
      <c r="H34">
        <v>999.99900000000002</v>
      </c>
      <c r="K34">
        <v>108052981</v>
      </c>
      <c r="L34" s="2">
        <v>45736</v>
      </c>
      <c r="M34">
        <v>21</v>
      </c>
      <c r="N34">
        <v>2</v>
      </c>
      <c r="O34">
        <v>0</v>
      </c>
      <c r="P34">
        <v>1</v>
      </c>
      <c r="Q34" t="s">
        <v>3</v>
      </c>
      <c r="U34" s="603"/>
    </row>
    <row r="35" spans="1:21">
      <c r="A35" t="s">
        <v>1021</v>
      </c>
      <c r="B35" t="s">
        <v>965</v>
      </c>
      <c r="C35">
        <v>0</v>
      </c>
      <c r="E35" t="s">
        <v>1038</v>
      </c>
      <c r="F35" t="s">
        <v>1056</v>
      </c>
      <c r="G35" t="s">
        <v>965</v>
      </c>
      <c r="H35">
        <v>999.99900000000002</v>
      </c>
      <c r="K35">
        <v>107758889</v>
      </c>
      <c r="L35" s="2">
        <v>45464</v>
      </c>
      <c r="M35">
        <v>30</v>
      </c>
      <c r="N35">
        <v>1</v>
      </c>
      <c r="O35">
        <v>0</v>
      </c>
      <c r="P35">
        <v>1</v>
      </c>
      <c r="Q35" t="s">
        <v>7</v>
      </c>
    </row>
    <row r="36" spans="1:21">
      <c r="A36" t="s">
        <v>1021</v>
      </c>
      <c r="B36" t="s">
        <v>965</v>
      </c>
      <c r="C36">
        <v>0</v>
      </c>
      <c r="E36" t="s">
        <v>1038</v>
      </c>
      <c r="F36" t="s">
        <v>1056</v>
      </c>
      <c r="G36" t="s">
        <v>965</v>
      </c>
      <c r="H36">
        <v>999.99900000000002</v>
      </c>
      <c r="K36">
        <v>107715242</v>
      </c>
      <c r="L36" s="2">
        <v>45406</v>
      </c>
      <c r="M36">
        <v>30</v>
      </c>
      <c r="N36">
        <v>1</v>
      </c>
      <c r="O36">
        <v>8</v>
      </c>
      <c r="P36">
        <v>1</v>
      </c>
      <c r="Q36" t="s">
        <v>7</v>
      </c>
    </row>
    <row r="37" spans="1:21">
      <c r="A37" t="s">
        <v>1021</v>
      </c>
      <c r="B37" t="s">
        <v>965</v>
      </c>
      <c r="C37">
        <v>0</v>
      </c>
      <c r="D37" t="s">
        <v>6</v>
      </c>
      <c r="E37" t="s">
        <v>1038</v>
      </c>
      <c r="F37" t="s">
        <v>1056</v>
      </c>
      <c r="G37" t="s">
        <v>965</v>
      </c>
      <c r="H37">
        <v>999.99900000000002</v>
      </c>
      <c r="K37">
        <v>108326930</v>
      </c>
      <c r="L37" s="2">
        <v>45993</v>
      </c>
      <c r="M37">
        <v>30</v>
      </c>
      <c r="N37">
        <v>2</v>
      </c>
      <c r="O37">
        <v>8</v>
      </c>
      <c r="P37">
        <v>1</v>
      </c>
      <c r="Q37" t="s">
        <v>7</v>
      </c>
    </row>
    <row r="38" spans="1:21">
      <c r="A38" t="s">
        <v>1021</v>
      </c>
      <c r="B38" t="s">
        <v>965</v>
      </c>
      <c r="C38">
        <v>8.5999999999999993E-2</v>
      </c>
      <c r="D38" t="s">
        <v>758</v>
      </c>
      <c r="E38" t="s">
        <v>1038</v>
      </c>
      <c r="F38" t="s">
        <v>1039</v>
      </c>
      <c r="G38" t="s">
        <v>965</v>
      </c>
      <c r="H38">
        <v>999.99900000000002</v>
      </c>
      <c r="K38">
        <v>108596417</v>
      </c>
      <c r="L38" s="2">
        <v>46255</v>
      </c>
      <c r="M38">
        <v>17</v>
      </c>
      <c r="N38">
        <v>1</v>
      </c>
      <c r="O38">
        <v>0</v>
      </c>
      <c r="P38">
        <v>1</v>
      </c>
      <c r="Q38" t="s">
        <v>7</v>
      </c>
    </row>
    <row r="39" spans="1:21">
      <c r="A39" t="s">
        <v>1021</v>
      </c>
      <c r="B39" t="s">
        <v>965</v>
      </c>
      <c r="C39">
        <v>6.5000000000000002E-2</v>
      </c>
      <c r="D39" t="s">
        <v>765</v>
      </c>
      <c r="E39" t="s">
        <v>1038</v>
      </c>
      <c r="F39" t="s">
        <v>1039</v>
      </c>
      <c r="G39" t="s">
        <v>965</v>
      </c>
      <c r="H39">
        <v>999.99900000000002</v>
      </c>
      <c r="K39">
        <v>108028220</v>
      </c>
      <c r="L39" s="2">
        <v>45711</v>
      </c>
      <c r="M39">
        <v>17</v>
      </c>
      <c r="N39">
        <v>1</v>
      </c>
      <c r="O39">
        <v>0</v>
      </c>
      <c r="P39">
        <v>3</v>
      </c>
      <c r="Q39" t="s">
        <v>7</v>
      </c>
    </row>
    <row r="40" spans="1:21">
      <c r="A40" t="s">
        <v>1021</v>
      </c>
      <c r="B40" t="s">
        <v>965</v>
      </c>
      <c r="C40">
        <v>2.8000000000000001E-2</v>
      </c>
      <c r="D40" t="s">
        <v>765</v>
      </c>
      <c r="E40" t="s">
        <v>1038</v>
      </c>
      <c r="F40" t="s">
        <v>1039</v>
      </c>
      <c r="G40" t="s">
        <v>965</v>
      </c>
      <c r="H40">
        <v>999.99900000000002</v>
      </c>
      <c r="K40">
        <v>108236675</v>
      </c>
      <c r="L40" s="2">
        <v>45919</v>
      </c>
      <c r="M40">
        <v>28</v>
      </c>
      <c r="N40">
        <v>1</v>
      </c>
      <c r="O40">
        <v>0</v>
      </c>
      <c r="P40">
        <v>1</v>
      </c>
      <c r="Q40" t="s">
        <v>7</v>
      </c>
      <c r="U40" s="603"/>
    </row>
    <row r="41" spans="1:21">
      <c r="A41" t="s">
        <v>970</v>
      </c>
      <c r="B41" t="s">
        <v>965</v>
      </c>
      <c r="C41">
        <v>0</v>
      </c>
      <c r="E41" t="s">
        <v>995</v>
      </c>
      <c r="G41" t="s">
        <v>965</v>
      </c>
      <c r="H41">
        <v>999.99900000000002</v>
      </c>
      <c r="K41">
        <v>105504040</v>
      </c>
      <c r="L41" s="2">
        <v>43256</v>
      </c>
      <c r="M41">
        <v>21</v>
      </c>
      <c r="N41">
        <v>1</v>
      </c>
      <c r="O41">
        <v>8</v>
      </c>
      <c r="P41">
        <v>1</v>
      </c>
      <c r="Q41" t="s">
        <v>3</v>
      </c>
    </row>
    <row r="42" spans="1:21">
      <c r="A42" t="s">
        <v>1021</v>
      </c>
      <c r="B42" t="s">
        <v>965</v>
      </c>
      <c r="C42">
        <v>4.1000000000000002E-2</v>
      </c>
      <c r="D42" t="s">
        <v>756</v>
      </c>
      <c r="E42" t="s">
        <v>1025</v>
      </c>
      <c r="F42" t="s">
        <v>1026</v>
      </c>
      <c r="G42" t="s">
        <v>965</v>
      </c>
      <c r="H42">
        <v>999.99900000000002</v>
      </c>
      <c r="K42">
        <v>108002306</v>
      </c>
      <c r="L42" s="2">
        <v>45684</v>
      </c>
      <c r="M42">
        <v>1</v>
      </c>
      <c r="N42">
        <v>2</v>
      </c>
      <c r="O42">
        <v>9</v>
      </c>
      <c r="P42">
        <v>4</v>
      </c>
      <c r="Q42" t="s">
        <v>7</v>
      </c>
      <c r="U42" s="603"/>
    </row>
    <row r="43" spans="1:21">
      <c r="A43" t="s">
        <v>1021</v>
      </c>
      <c r="B43" t="s">
        <v>965</v>
      </c>
      <c r="C43">
        <v>5.0000000000000001E-3</v>
      </c>
      <c r="D43" t="s">
        <v>756</v>
      </c>
      <c r="E43" t="s">
        <v>1025</v>
      </c>
      <c r="F43" t="s">
        <v>1026</v>
      </c>
      <c r="G43" t="s">
        <v>965</v>
      </c>
      <c r="H43">
        <v>999.99900000000002</v>
      </c>
      <c r="K43">
        <v>105007262</v>
      </c>
      <c r="L43" s="2">
        <v>42752</v>
      </c>
      <c r="M43">
        <v>1</v>
      </c>
      <c r="N43">
        <v>2</v>
      </c>
      <c r="O43">
        <v>8</v>
      </c>
      <c r="P43">
        <v>4</v>
      </c>
      <c r="Q43" t="s">
        <v>7</v>
      </c>
      <c r="U43" s="603"/>
    </row>
    <row r="44" spans="1:21">
      <c r="A44" t="s">
        <v>1021</v>
      </c>
      <c r="B44" t="s">
        <v>965</v>
      </c>
      <c r="C44">
        <v>0</v>
      </c>
      <c r="E44" t="s">
        <v>1025</v>
      </c>
      <c r="F44" t="s">
        <v>1026</v>
      </c>
      <c r="G44" t="s">
        <v>965</v>
      </c>
      <c r="H44">
        <v>999.99900000000002</v>
      </c>
      <c r="J44" s="609"/>
      <c r="K44">
        <v>105806338</v>
      </c>
      <c r="L44" s="2">
        <v>43526</v>
      </c>
      <c r="M44">
        <v>1</v>
      </c>
      <c r="N44">
        <v>2</v>
      </c>
      <c r="O44">
        <v>0</v>
      </c>
      <c r="P44">
        <v>5</v>
      </c>
      <c r="Q44" t="s">
        <v>7</v>
      </c>
      <c r="U44" s="603"/>
    </row>
    <row r="45" spans="1:21">
      <c r="A45" t="s">
        <v>1021</v>
      </c>
      <c r="B45" t="s">
        <v>965</v>
      </c>
      <c r="C45">
        <v>0</v>
      </c>
      <c r="E45" t="s">
        <v>1067</v>
      </c>
      <c r="F45" t="s">
        <v>1020</v>
      </c>
      <c r="G45" t="s">
        <v>965</v>
      </c>
      <c r="H45">
        <v>999.99900000000002</v>
      </c>
      <c r="K45">
        <v>106437209</v>
      </c>
      <c r="L45" s="2">
        <v>44177</v>
      </c>
      <c r="M45">
        <v>21</v>
      </c>
      <c r="N45">
        <v>1</v>
      </c>
      <c r="O45">
        <v>7</v>
      </c>
      <c r="P45">
        <v>4</v>
      </c>
      <c r="Q45" t="s">
        <v>7</v>
      </c>
    </row>
    <row r="46" spans="1:21">
      <c r="A46" t="s">
        <v>1021</v>
      </c>
      <c r="B46" t="s">
        <v>965</v>
      </c>
      <c r="C46">
        <v>0</v>
      </c>
      <c r="E46" t="s">
        <v>1067</v>
      </c>
      <c r="F46" t="s">
        <v>1020</v>
      </c>
      <c r="G46" t="s">
        <v>965</v>
      </c>
      <c r="H46">
        <v>999.99900000000002</v>
      </c>
      <c r="K46">
        <v>106431907</v>
      </c>
      <c r="L46" s="2">
        <v>44152</v>
      </c>
      <c r="M46">
        <v>30</v>
      </c>
      <c r="N46">
        <v>1</v>
      </c>
      <c r="O46">
        <v>7</v>
      </c>
      <c r="P46">
        <v>1</v>
      </c>
      <c r="Q46" t="s">
        <v>7</v>
      </c>
    </row>
    <row r="47" spans="1:21">
      <c r="A47" t="s">
        <v>1021</v>
      </c>
      <c r="B47" t="s">
        <v>965</v>
      </c>
      <c r="C47">
        <v>0</v>
      </c>
      <c r="E47" t="s">
        <v>1067</v>
      </c>
      <c r="G47" t="s">
        <v>965</v>
      </c>
      <c r="H47">
        <v>999.99900000000002</v>
      </c>
      <c r="K47">
        <v>107391646</v>
      </c>
      <c r="L47" s="2">
        <v>45117</v>
      </c>
      <c r="M47">
        <v>24</v>
      </c>
      <c r="N47">
        <v>1</v>
      </c>
      <c r="O47">
        <v>7</v>
      </c>
      <c r="P47">
        <v>1</v>
      </c>
      <c r="Q47" t="s">
        <v>7</v>
      </c>
      <c r="U47" s="603"/>
    </row>
    <row r="48" spans="1:21">
      <c r="A48" t="s">
        <v>1021</v>
      </c>
      <c r="B48" t="s">
        <v>965</v>
      </c>
      <c r="C48">
        <v>0</v>
      </c>
      <c r="E48" t="s">
        <v>1067</v>
      </c>
      <c r="G48" t="s">
        <v>965</v>
      </c>
      <c r="H48">
        <v>999.99900000000002</v>
      </c>
      <c r="K48">
        <v>108017956</v>
      </c>
      <c r="L48" s="2">
        <v>45700</v>
      </c>
      <c r="M48">
        <v>30</v>
      </c>
      <c r="N48">
        <v>2</v>
      </c>
      <c r="O48">
        <v>7</v>
      </c>
      <c r="P48">
        <v>2</v>
      </c>
      <c r="Q48" t="s">
        <v>3</v>
      </c>
    </row>
    <row r="49" spans="1:21">
      <c r="A49" t="s">
        <v>1021</v>
      </c>
      <c r="B49" t="s">
        <v>965</v>
      </c>
      <c r="C49">
        <v>0</v>
      </c>
      <c r="D49" t="s">
        <v>6</v>
      </c>
      <c r="E49" t="s">
        <v>1067</v>
      </c>
      <c r="G49" t="s">
        <v>965</v>
      </c>
      <c r="H49">
        <v>999.99900000000002</v>
      </c>
      <c r="K49">
        <v>107288111</v>
      </c>
      <c r="L49" s="2">
        <v>45016</v>
      </c>
      <c r="M49">
        <v>30</v>
      </c>
      <c r="N49">
        <v>1</v>
      </c>
      <c r="O49">
        <v>7</v>
      </c>
      <c r="P49">
        <v>1</v>
      </c>
      <c r="Q49" t="s">
        <v>7</v>
      </c>
    </row>
    <row r="50" spans="1:21">
      <c r="A50" t="s">
        <v>1021</v>
      </c>
      <c r="B50" t="s">
        <v>965</v>
      </c>
      <c r="C50">
        <v>1.9E-2</v>
      </c>
      <c r="D50" t="s">
        <v>756</v>
      </c>
      <c r="E50" t="s">
        <v>965</v>
      </c>
      <c r="F50" t="s">
        <v>1032</v>
      </c>
      <c r="G50" t="s">
        <v>965</v>
      </c>
      <c r="H50">
        <v>999.99900000000002</v>
      </c>
      <c r="K50">
        <v>108202207</v>
      </c>
      <c r="L50" s="2">
        <v>45883</v>
      </c>
      <c r="M50">
        <v>21</v>
      </c>
      <c r="N50">
        <v>1</v>
      </c>
      <c r="O50">
        <v>0</v>
      </c>
      <c r="P50">
        <v>1</v>
      </c>
      <c r="Q50" t="s">
        <v>7</v>
      </c>
      <c r="U50" s="603"/>
    </row>
    <row r="51" spans="1:21">
      <c r="A51" t="s">
        <v>1021</v>
      </c>
      <c r="B51" t="s">
        <v>965</v>
      </c>
      <c r="C51">
        <v>0</v>
      </c>
      <c r="E51" t="s">
        <v>965</v>
      </c>
      <c r="F51" t="s">
        <v>1023</v>
      </c>
      <c r="G51" t="s">
        <v>965</v>
      </c>
      <c r="H51">
        <v>999.99900000000002</v>
      </c>
      <c r="K51">
        <v>108089486</v>
      </c>
      <c r="L51" s="2">
        <v>45772</v>
      </c>
      <c r="M51">
        <v>30</v>
      </c>
      <c r="N51">
        <v>1</v>
      </c>
      <c r="O51">
        <v>0</v>
      </c>
      <c r="P51">
        <v>1</v>
      </c>
      <c r="Q51" t="s">
        <v>3</v>
      </c>
    </row>
    <row r="52" spans="1:21">
      <c r="A52" t="s">
        <v>1021</v>
      </c>
      <c r="B52" t="s">
        <v>965</v>
      </c>
      <c r="C52">
        <v>4.9000000000000002E-2</v>
      </c>
      <c r="D52" t="s">
        <v>756</v>
      </c>
      <c r="E52" t="s">
        <v>965</v>
      </c>
      <c r="F52" t="s">
        <v>1097</v>
      </c>
      <c r="G52" t="s">
        <v>965</v>
      </c>
      <c r="H52">
        <v>999.99900000000002</v>
      </c>
      <c r="K52">
        <v>105631297</v>
      </c>
      <c r="L52" s="2">
        <v>43355</v>
      </c>
      <c r="M52">
        <v>23</v>
      </c>
      <c r="N52">
        <v>1</v>
      </c>
      <c r="O52">
        <v>0</v>
      </c>
      <c r="P52">
        <v>1</v>
      </c>
      <c r="Q52" t="s">
        <v>7</v>
      </c>
    </row>
    <row r="53" spans="1:21">
      <c r="A53" t="s">
        <v>1021</v>
      </c>
      <c r="B53" t="s">
        <v>965</v>
      </c>
      <c r="C53">
        <v>0</v>
      </c>
      <c r="E53" t="s">
        <v>965</v>
      </c>
      <c r="F53" t="s">
        <v>968</v>
      </c>
      <c r="G53" t="s">
        <v>965</v>
      </c>
      <c r="H53">
        <v>999.99900000000002</v>
      </c>
      <c r="K53">
        <v>107306995</v>
      </c>
      <c r="L53" s="2">
        <v>45033</v>
      </c>
      <c r="M53">
        <v>21</v>
      </c>
      <c r="N53">
        <v>1</v>
      </c>
      <c r="O53">
        <v>0</v>
      </c>
      <c r="P53">
        <v>1</v>
      </c>
      <c r="Q53" t="s">
        <v>7</v>
      </c>
    </row>
    <row r="54" spans="1:21">
      <c r="A54" t="s">
        <v>1021</v>
      </c>
      <c r="B54" t="s">
        <v>965</v>
      </c>
      <c r="C54">
        <v>1.9E-2</v>
      </c>
      <c r="D54" t="s">
        <v>6</v>
      </c>
      <c r="E54" t="s">
        <v>1042</v>
      </c>
      <c r="F54" t="s">
        <v>1023</v>
      </c>
      <c r="G54" t="s">
        <v>965</v>
      </c>
      <c r="H54">
        <v>999.99900000000002</v>
      </c>
      <c r="K54">
        <v>108287188</v>
      </c>
      <c r="L54" s="2">
        <v>45961</v>
      </c>
      <c r="M54">
        <v>30</v>
      </c>
      <c r="N54">
        <v>1</v>
      </c>
      <c r="O54">
        <v>0</v>
      </c>
      <c r="P54">
        <v>1</v>
      </c>
      <c r="Q54" t="s">
        <v>7</v>
      </c>
    </row>
    <row r="55" spans="1:21">
      <c r="A55" t="s">
        <v>1021</v>
      </c>
      <c r="B55" t="s">
        <v>965</v>
      </c>
      <c r="C55">
        <v>7.8E-2</v>
      </c>
      <c r="D55" t="s">
        <v>6</v>
      </c>
      <c r="E55" t="s">
        <v>1042</v>
      </c>
      <c r="F55" t="s">
        <v>1056</v>
      </c>
      <c r="G55" t="s">
        <v>965</v>
      </c>
      <c r="H55">
        <v>999.99900000000002</v>
      </c>
      <c r="K55">
        <v>107107108</v>
      </c>
      <c r="L55" s="2">
        <v>44845</v>
      </c>
      <c r="M55">
        <v>24</v>
      </c>
      <c r="N55">
        <v>1</v>
      </c>
      <c r="O55">
        <v>12</v>
      </c>
      <c r="P55">
        <v>1</v>
      </c>
      <c r="Q55" t="s">
        <v>7</v>
      </c>
      <c r="U55" s="603"/>
    </row>
    <row r="56" spans="1:21">
      <c r="A56" t="s">
        <v>1021</v>
      </c>
      <c r="B56" t="s">
        <v>965</v>
      </c>
      <c r="C56">
        <v>0</v>
      </c>
      <c r="E56" t="s">
        <v>1073</v>
      </c>
      <c r="F56" t="s">
        <v>1052</v>
      </c>
      <c r="G56" t="s">
        <v>965</v>
      </c>
      <c r="H56">
        <v>999.99900000000002</v>
      </c>
      <c r="K56">
        <v>105240102</v>
      </c>
      <c r="L56" s="2">
        <v>43001</v>
      </c>
      <c r="M56">
        <v>30</v>
      </c>
      <c r="N56">
        <v>1</v>
      </c>
      <c r="O56">
        <v>7</v>
      </c>
      <c r="P56">
        <v>1</v>
      </c>
      <c r="Q56" t="s">
        <v>7</v>
      </c>
    </row>
    <row r="57" spans="1:21">
      <c r="A57" t="s">
        <v>1021</v>
      </c>
      <c r="B57" t="s">
        <v>965</v>
      </c>
      <c r="C57">
        <v>7.0000000000000007E-2</v>
      </c>
      <c r="D57" t="s">
        <v>756</v>
      </c>
      <c r="E57" t="s">
        <v>1104</v>
      </c>
      <c r="F57" t="s">
        <v>1023</v>
      </c>
      <c r="G57" t="s">
        <v>965</v>
      </c>
      <c r="H57">
        <v>999.99900000000002</v>
      </c>
      <c r="K57">
        <v>107518898</v>
      </c>
      <c r="L57" s="2">
        <v>45238</v>
      </c>
      <c r="M57">
        <v>19</v>
      </c>
      <c r="N57">
        <v>1</v>
      </c>
      <c r="O57">
        <v>8</v>
      </c>
      <c r="P57">
        <v>5</v>
      </c>
      <c r="Q57" t="s">
        <v>7</v>
      </c>
    </row>
    <row r="58" spans="1:21">
      <c r="A58" t="s">
        <v>1021</v>
      </c>
      <c r="B58" t="s">
        <v>1042</v>
      </c>
      <c r="C58">
        <v>0</v>
      </c>
      <c r="D58" t="s">
        <v>757</v>
      </c>
      <c r="E58" t="s">
        <v>965</v>
      </c>
      <c r="F58" t="s">
        <v>1043</v>
      </c>
      <c r="G58" t="s">
        <v>965</v>
      </c>
      <c r="H58">
        <v>999.99900000000002</v>
      </c>
      <c r="K58">
        <v>107245082</v>
      </c>
      <c r="L58" s="2">
        <v>44970</v>
      </c>
      <c r="M58">
        <v>30</v>
      </c>
      <c r="N58">
        <v>1</v>
      </c>
      <c r="O58">
        <v>0</v>
      </c>
      <c r="P58">
        <v>1</v>
      </c>
      <c r="Q58" t="s">
        <v>7</v>
      </c>
      <c r="U58" s="603"/>
    </row>
    <row r="59" spans="1:21">
      <c r="A59" t="s">
        <v>1021</v>
      </c>
      <c r="B59" t="s">
        <v>1042</v>
      </c>
      <c r="C59">
        <v>0</v>
      </c>
      <c r="E59" t="s">
        <v>965</v>
      </c>
      <c r="F59" t="s">
        <v>1023</v>
      </c>
      <c r="G59" t="s">
        <v>965</v>
      </c>
      <c r="H59">
        <v>999.99900000000002</v>
      </c>
      <c r="K59">
        <v>108310444</v>
      </c>
      <c r="L59" s="2">
        <v>45978</v>
      </c>
      <c r="M59">
        <v>30</v>
      </c>
      <c r="N59">
        <v>1</v>
      </c>
      <c r="O59">
        <v>8</v>
      </c>
      <c r="P59">
        <v>1</v>
      </c>
      <c r="Q59" t="s">
        <v>7</v>
      </c>
    </row>
    <row r="60" spans="1:21">
      <c r="A60" t="s">
        <v>1021</v>
      </c>
      <c r="B60" t="s">
        <v>1143</v>
      </c>
      <c r="C60">
        <v>0</v>
      </c>
      <c r="D60" t="s">
        <v>6</v>
      </c>
      <c r="E60" t="s">
        <v>965</v>
      </c>
      <c r="F60" t="s">
        <v>1023</v>
      </c>
      <c r="G60" t="s">
        <v>965</v>
      </c>
      <c r="H60">
        <v>999.99900000000002</v>
      </c>
      <c r="K60">
        <v>106873684</v>
      </c>
      <c r="L60" s="2">
        <v>44619</v>
      </c>
      <c r="M60">
        <v>19</v>
      </c>
      <c r="N60">
        <v>2</v>
      </c>
      <c r="O60">
        <v>0</v>
      </c>
      <c r="P60">
        <v>1</v>
      </c>
      <c r="Q60" t="s">
        <v>7</v>
      </c>
    </row>
    <row r="61" spans="1:21">
      <c r="A61" t="s">
        <v>1021</v>
      </c>
      <c r="B61" t="s">
        <v>1075</v>
      </c>
      <c r="C61">
        <v>0</v>
      </c>
      <c r="E61" t="s">
        <v>965</v>
      </c>
      <c r="F61" t="s">
        <v>963</v>
      </c>
      <c r="G61" t="s">
        <v>965</v>
      </c>
      <c r="H61">
        <v>999.99900000000002</v>
      </c>
      <c r="K61">
        <v>105240097</v>
      </c>
      <c r="L61" s="2">
        <v>43004</v>
      </c>
      <c r="M61">
        <v>21</v>
      </c>
      <c r="N61">
        <v>1</v>
      </c>
      <c r="O61">
        <v>7</v>
      </c>
      <c r="P61">
        <v>1</v>
      </c>
      <c r="Q61" t="s">
        <v>7</v>
      </c>
    </row>
    <row r="62" spans="1:21">
      <c r="A62" t="s">
        <v>1021</v>
      </c>
      <c r="B62" t="s">
        <v>966</v>
      </c>
      <c r="C62">
        <v>0</v>
      </c>
      <c r="E62" t="s">
        <v>1050</v>
      </c>
      <c r="F62" t="s">
        <v>966</v>
      </c>
      <c r="G62" t="s">
        <v>969</v>
      </c>
      <c r="H62">
        <v>1.75</v>
      </c>
      <c r="K62">
        <v>107308067</v>
      </c>
      <c r="L62" s="2">
        <v>45035</v>
      </c>
      <c r="M62">
        <v>31</v>
      </c>
      <c r="N62">
        <v>1</v>
      </c>
      <c r="O62">
        <v>7</v>
      </c>
      <c r="P62">
        <v>1</v>
      </c>
      <c r="Q62" t="s">
        <v>7</v>
      </c>
    </row>
    <row r="63" spans="1:21">
      <c r="A63" t="s">
        <v>1021</v>
      </c>
      <c r="B63" t="s">
        <v>966</v>
      </c>
      <c r="C63">
        <v>0</v>
      </c>
      <c r="E63" t="s">
        <v>1050</v>
      </c>
      <c r="F63" t="s">
        <v>1147</v>
      </c>
      <c r="G63" t="s">
        <v>969</v>
      </c>
      <c r="H63">
        <v>1.75</v>
      </c>
      <c r="K63">
        <v>105792455</v>
      </c>
      <c r="L63" s="2">
        <v>43513</v>
      </c>
      <c r="M63">
        <v>21</v>
      </c>
      <c r="N63">
        <v>2</v>
      </c>
      <c r="O63">
        <v>7</v>
      </c>
      <c r="P63">
        <v>1</v>
      </c>
      <c r="Q63" t="s">
        <v>7</v>
      </c>
    </row>
    <row r="64" spans="1:21">
      <c r="A64" t="s">
        <v>1021</v>
      </c>
      <c r="B64" t="s">
        <v>1050</v>
      </c>
      <c r="C64">
        <v>0</v>
      </c>
      <c r="E64" t="s">
        <v>966</v>
      </c>
      <c r="F64" t="s">
        <v>1154</v>
      </c>
      <c r="G64" t="s">
        <v>969</v>
      </c>
      <c r="H64">
        <v>1.75</v>
      </c>
      <c r="K64">
        <v>105233236</v>
      </c>
      <c r="L64" s="2">
        <v>42979</v>
      </c>
      <c r="M64">
        <v>30</v>
      </c>
      <c r="N64">
        <v>1</v>
      </c>
      <c r="O64">
        <v>7</v>
      </c>
      <c r="P64">
        <v>4</v>
      </c>
      <c r="Q64" t="s">
        <v>7</v>
      </c>
      <c r="U64" s="603"/>
    </row>
    <row r="65" spans="1:21">
      <c r="A65" t="s">
        <v>1021</v>
      </c>
      <c r="B65" t="s">
        <v>969</v>
      </c>
      <c r="C65">
        <v>0</v>
      </c>
      <c r="E65" t="s">
        <v>966</v>
      </c>
      <c r="F65" t="s">
        <v>1154</v>
      </c>
      <c r="G65" t="s">
        <v>969</v>
      </c>
      <c r="H65">
        <v>1.75</v>
      </c>
      <c r="K65">
        <v>106802260</v>
      </c>
      <c r="L65" s="2">
        <v>44467</v>
      </c>
      <c r="M65">
        <v>28</v>
      </c>
      <c r="N65">
        <v>1</v>
      </c>
      <c r="O65">
        <v>7</v>
      </c>
      <c r="P65">
        <v>1</v>
      </c>
      <c r="Q65" t="s">
        <v>7</v>
      </c>
    </row>
    <row r="66" spans="1:21">
      <c r="A66" t="s">
        <v>1021</v>
      </c>
      <c r="B66" t="s">
        <v>969</v>
      </c>
      <c r="C66">
        <v>0</v>
      </c>
      <c r="E66" t="s">
        <v>966</v>
      </c>
      <c r="F66" t="s">
        <v>1156</v>
      </c>
      <c r="G66" t="s">
        <v>969</v>
      </c>
      <c r="H66">
        <v>1.75</v>
      </c>
      <c r="K66">
        <v>105463984</v>
      </c>
      <c r="L66" s="2">
        <v>43202</v>
      </c>
      <c r="M66">
        <v>26</v>
      </c>
      <c r="N66">
        <v>1</v>
      </c>
      <c r="O66">
        <v>7</v>
      </c>
      <c r="P66">
        <v>1</v>
      </c>
      <c r="Q66" t="s">
        <v>7</v>
      </c>
    </row>
    <row r="67" spans="1:21">
      <c r="A67" t="s">
        <v>1021</v>
      </c>
      <c r="B67" t="s">
        <v>1050</v>
      </c>
      <c r="C67">
        <v>8.9999999999999993E-3</v>
      </c>
      <c r="D67" t="s">
        <v>756</v>
      </c>
      <c r="E67" t="s">
        <v>966</v>
      </c>
      <c r="F67" t="s">
        <v>1051</v>
      </c>
      <c r="G67" t="s">
        <v>969</v>
      </c>
      <c r="H67">
        <v>1.7589999999999999</v>
      </c>
      <c r="K67">
        <v>105755129</v>
      </c>
      <c r="L67" s="2">
        <v>43490</v>
      </c>
      <c r="M67">
        <v>17</v>
      </c>
      <c r="N67">
        <v>1</v>
      </c>
      <c r="O67">
        <v>0</v>
      </c>
      <c r="P67">
        <v>5</v>
      </c>
      <c r="Q67" t="s">
        <v>7</v>
      </c>
    </row>
    <row r="68" spans="1:21">
      <c r="A68" t="s">
        <v>970</v>
      </c>
      <c r="B68" t="s">
        <v>973</v>
      </c>
      <c r="C68">
        <v>2.8000000000000001E-2</v>
      </c>
      <c r="D68" t="s">
        <v>6</v>
      </c>
      <c r="E68" t="s">
        <v>965</v>
      </c>
      <c r="F68" t="s">
        <v>974</v>
      </c>
      <c r="G68" t="s">
        <v>973</v>
      </c>
      <c r="H68">
        <v>6.774</v>
      </c>
      <c r="K68">
        <v>107805749</v>
      </c>
      <c r="L68" s="2">
        <v>45506</v>
      </c>
      <c r="M68">
        <v>21</v>
      </c>
      <c r="N68">
        <v>1</v>
      </c>
      <c r="O68">
        <v>8</v>
      </c>
      <c r="P68">
        <v>1</v>
      </c>
      <c r="Q68" t="s">
        <v>7</v>
      </c>
      <c r="U68" s="603"/>
    </row>
    <row r="69" spans="1:21">
      <c r="A69" t="s">
        <v>970</v>
      </c>
      <c r="B69" t="s">
        <v>973</v>
      </c>
      <c r="C69">
        <v>1.9E-2</v>
      </c>
      <c r="D69" t="s">
        <v>6</v>
      </c>
      <c r="E69" t="s">
        <v>965</v>
      </c>
      <c r="F69" t="s">
        <v>971</v>
      </c>
      <c r="G69" t="s">
        <v>973</v>
      </c>
      <c r="H69">
        <v>6.7830000000000004</v>
      </c>
      <c r="K69">
        <v>108597977</v>
      </c>
      <c r="L69" s="2">
        <v>46256</v>
      </c>
      <c r="M69">
        <v>21</v>
      </c>
      <c r="N69">
        <v>1</v>
      </c>
      <c r="O69">
        <v>7</v>
      </c>
      <c r="P69">
        <v>1</v>
      </c>
      <c r="Q69" t="s">
        <v>7</v>
      </c>
    </row>
    <row r="70" spans="1:21">
      <c r="A70" t="s">
        <v>970</v>
      </c>
      <c r="B70" t="s">
        <v>973</v>
      </c>
      <c r="C70">
        <v>1.9E-2</v>
      </c>
      <c r="D70" t="s">
        <v>6</v>
      </c>
      <c r="E70" t="s">
        <v>965</v>
      </c>
      <c r="F70" t="s">
        <v>974</v>
      </c>
      <c r="G70" t="s">
        <v>973</v>
      </c>
      <c r="H70">
        <v>6.7830000000000004</v>
      </c>
      <c r="K70">
        <v>106437818</v>
      </c>
      <c r="L70" s="2">
        <v>44175</v>
      </c>
      <c r="M70">
        <v>21</v>
      </c>
      <c r="N70">
        <v>1</v>
      </c>
      <c r="O70">
        <v>0</v>
      </c>
      <c r="P70">
        <v>1</v>
      </c>
      <c r="Q70" t="s">
        <v>7</v>
      </c>
    </row>
    <row r="71" spans="1:21">
      <c r="A71" t="s">
        <v>970</v>
      </c>
      <c r="B71" t="s">
        <v>973</v>
      </c>
      <c r="C71">
        <v>1.9E-2</v>
      </c>
      <c r="D71" t="s">
        <v>6</v>
      </c>
      <c r="E71" t="s">
        <v>965</v>
      </c>
      <c r="F71" t="s">
        <v>974</v>
      </c>
      <c r="G71" t="s">
        <v>973</v>
      </c>
      <c r="H71">
        <v>6.7830000000000004</v>
      </c>
      <c r="K71">
        <v>107246029</v>
      </c>
      <c r="L71" s="2">
        <v>44971</v>
      </c>
      <c r="M71">
        <v>21</v>
      </c>
      <c r="N71">
        <v>1</v>
      </c>
      <c r="O71">
        <v>7</v>
      </c>
      <c r="P71">
        <v>1</v>
      </c>
      <c r="Q71" t="s">
        <v>7</v>
      </c>
    </row>
    <row r="72" spans="1:21">
      <c r="A72" t="s">
        <v>970</v>
      </c>
      <c r="B72" t="s">
        <v>973</v>
      </c>
      <c r="C72">
        <v>1.4999999999999999E-2</v>
      </c>
      <c r="D72" t="s">
        <v>6</v>
      </c>
      <c r="E72" t="s">
        <v>965</v>
      </c>
      <c r="F72" t="s">
        <v>974</v>
      </c>
      <c r="G72" t="s">
        <v>973</v>
      </c>
      <c r="H72">
        <v>6.7869999999999999</v>
      </c>
      <c r="K72">
        <v>105599836</v>
      </c>
      <c r="L72" s="2">
        <v>43354</v>
      </c>
      <c r="M72">
        <v>21</v>
      </c>
      <c r="N72">
        <v>1</v>
      </c>
      <c r="O72">
        <v>0</v>
      </c>
      <c r="P72">
        <v>1</v>
      </c>
      <c r="Q72" t="s">
        <v>7</v>
      </c>
      <c r="U72" s="603"/>
    </row>
    <row r="73" spans="1:21">
      <c r="A73" t="s">
        <v>970</v>
      </c>
      <c r="B73" t="s">
        <v>973</v>
      </c>
      <c r="C73">
        <v>1.2999999999999999E-2</v>
      </c>
      <c r="D73" t="s">
        <v>6</v>
      </c>
      <c r="E73" t="s">
        <v>965</v>
      </c>
      <c r="F73" t="s">
        <v>974</v>
      </c>
      <c r="G73" t="s">
        <v>973</v>
      </c>
      <c r="H73">
        <v>6.7889999999999997</v>
      </c>
      <c r="K73">
        <v>108208349</v>
      </c>
      <c r="L73" s="2">
        <v>45889</v>
      </c>
      <c r="M73">
        <v>21</v>
      </c>
      <c r="N73">
        <v>1</v>
      </c>
      <c r="O73">
        <v>7</v>
      </c>
      <c r="P73">
        <v>1</v>
      </c>
      <c r="Q73" t="s">
        <v>7</v>
      </c>
    </row>
    <row r="74" spans="1:21">
      <c r="A74" t="s">
        <v>970</v>
      </c>
      <c r="B74" t="s">
        <v>973</v>
      </c>
      <c r="C74">
        <v>8.9999999999999993E-3</v>
      </c>
      <c r="D74" t="s">
        <v>6</v>
      </c>
      <c r="E74" t="s">
        <v>965</v>
      </c>
      <c r="F74" t="s">
        <v>974</v>
      </c>
      <c r="G74" t="s">
        <v>973</v>
      </c>
      <c r="H74">
        <v>6.7930000000000001</v>
      </c>
      <c r="K74">
        <v>105416819</v>
      </c>
      <c r="L74" s="2">
        <v>43178</v>
      </c>
      <c r="M74">
        <v>21</v>
      </c>
      <c r="N74">
        <v>1</v>
      </c>
      <c r="O74">
        <v>0</v>
      </c>
      <c r="P74">
        <v>1</v>
      </c>
      <c r="Q74" t="s">
        <v>7</v>
      </c>
    </row>
    <row r="75" spans="1:21">
      <c r="A75" t="s">
        <v>970</v>
      </c>
      <c r="B75" t="s">
        <v>973</v>
      </c>
      <c r="C75">
        <v>8.9999999999999993E-3</v>
      </c>
      <c r="D75" t="s">
        <v>6</v>
      </c>
      <c r="E75" t="s">
        <v>965</v>
      </c>
      <c r="F75" t="s">
        <v>974</v>
      </c>
      <c r="G75" t="s">
        <v>973</v>
      </c>
      <c r="H75">
        <v>6.7930000000000001</v>
      </c>
      <c r="K75">
        <v>106596777</v>
      </c>
      <c r="L75" s="2">
        <v>44355</v>
      </c>
      <c r="M75">
        <v>21</v>
      </c>
      <c r="N75">
        <v>1</v>
      </c>
      <c r="O75">
        <v>0</v>
      </c>
      <c r="P75">
        <v>1</v>
      </c>
      <c r="Q75" t="s">
        <v>7</v>
      </c>
      <c r="U75" s="603"/>
    </row>
    <row r="76" spans="1:21">
      <c r="A76" t="s">
        <v>970</v>
      </c>
      <c r="B76" t="s">
        <v>973</v>
      </c>
      <c r="C76">
        <v>8.0000000000000002E-3</v>
      </c>
      <c r="D76" t="s">
        <v>6</v>
      </c>
      <c r="E76" t="s">
        <v>965</v>
      </c>
      <c r="F76" t="s">
        <v>974</v>
      </c>
      <c r="G76" t="s">
        <v>973</v>
      </c>
      <c r="H76">
        <v>6.7939999999999996</v>
      </c>
      <c r="K76">
        <v>105306041</v>
      </c>
      <c r="L76" s="2">
        <v>43070</v>
      </c>
      <c r="M76">
        <v>21</v>
      </c>
      <c r="N76">
        <v>1</v>
      </c>
      <c r="O76">
        <v>0</v>
      </c>
      <c r="P76">
        <v>1</v>
      </c>
      <c r="Q76" t="s">
        <v>7</v>
      </c>
    </row>
    <row r="77" spans="1:21">
      <c r="A77" t="s">
        <v>970</v>
      </c>
      <c r="B77" t="s">
        <v>973</v>
      </c>
      <c r="C77">
        <v>5.0000000000000001E-3</v>
      </c>
      <c r="D77" t="s">
        <v>6</v>
      </c>
      <c r="E77" t="s">
        <v>965</v>
      </c>
      <c r="F77" t="s">
        <v>974</v>
      </c>
      <c r="G77" t="s">
        <v>973</v>
      </c>
      <c r="H77">
        <v>6.7969999999999997</v>
      </c>
      <c r="K77">
        <v>105288749</v>
      </c>
      <c r="L77" s="2">
        <v>43046</v>
      </c>
      <c r="M77">
        <v>21</v>
      </c>
      <c r="N77">
        <v>1</v>
      </c>
      <c r="O77">
        <v>0</v>
      </c>
      <c r="P77">
        <v>1</v>
      </c>
      <c r="Q77" t="s">
        <v>7</v>
      </c>
    </row>
    <row r="78" spans="1:21">
      <c r="A78" t="s">
        <v>970</v>
      </c>
      <c r="B78" t="s">
        <v>973</v>
      </c>
      <c r="C78">
        <v>5.0000000000000001E-3</v>
      </c>
      <c r="D78" t="s">
        <v>6</v>
      </c>
      <c r="E78" t="s">
        <v>965</v>
      </c>
      <c r="F78" t="s">
        <v>974</v>
      </c>
      <c r="G78" t="s">
        <v>973</v>
      </c>
      <c r="H78">
        <v>6.7969999999999997</v>
      </c>
      <c r="K78">
        <v>108513387</v>
      </c>
      <c r="L78" s="2">
        <v>46171</v>
      </c>
      <c r="M78">
        <v>21</v>
      </c>
      <c r="N78">
        <v>1</v>
      </c>
      <c r="O78">
        <v>7</v>
      </c>
      <c r="P78">
        <v>1</v>
      </c>
      <c r="Q78" t="s">
        <v>7</v>
      </c>
    </row>
    <row r="79" spans="1:21">
      <c r="A79" t="s">
        <v>970</v>
      </c>
      <c r="B79" t="s">
        <v>973</v>
      </c>
      <c r="C79">
        <v>2E-3</v>
      </c>
      <c r="D79" t="s">
        <v>6</v>
      </c>
      <c r="E79" t="s">
        <v>965</v>
      </c>
      <c r="F79" t="s">
        <v>969</v>
      </c>
      <c r="G79" t="s">
        <v>973</v>
      </c>
      <c r="H79">
        <v>6.8</v>
      </c>
      <c r="K79">
        <v>105104140</v>
      </c>
      <c r="L79" s="2">
        <v>42874</v>
      </c>
      <c r="M79">
        <v>21</v>
      </c>
      <c r="N79">
        <v>1</v>
      </c>
      <c r="O79">
        <v>7</v>
      </c>
      <c r="P79">
        <v>1</v>
      </c>
      <c r="Q79" t="s">
        <v>3</v>
      </c>
      <c r="U79" s="603"/>
    </row>
    <row r="80" spans="1:21">
      <c r="A80" t="s">
        <v>970</v>
      </c>
      <c r="B80" t="s">
        <v>973</v>
      </c>
      <c r="C80">
        <v>2E-3</v>
      </c>
      <c r="D80" t="s">
        <v>6</v>
      </c>
      <c r="E80" t="s">
        <v>965</v>
      </c>
      <c r="G80" t="s">
        <v>973</v>
      </c>
      <c r="H80">
        <v>6.8</v>
      </c>
      <c r="K80">
        <v>105065784</v>
      </c>
      <c r="L80" s="2">
        <v>42835</v>
      </c>
      <c r="M80">
        <v>21</v>
      </c>
      <c r="N80">
        <v>1</v>
      </c>
      <c r="O80">
        <v>7</v>
      </c>
      <c r="P80">
        <v>1</v>
      </c>
      <c r="Q80" t="s">
        <v>7</v>
      </c>
    </row>
    <row r="81" spans="1:21">
      <c r="A81" t="s">
        <v>970</v>
      </c>
      <c r="B81" t="s">
        <v>973</v>
      </c>
      <c r="C81">
        <v>2E-3</v>
      </c>
      <c r="D81" t="s">
        <v>756</v>
      </c>
      <c r="E81" t="s">
        <v>965</v>
      </c>
      <c r="G81" t="s">
        <v>973</v>
      </c>
      <c r="H81">
        <v>6.8</v>
      </c>
      <c r="K81">
        <v>105530171</v>
      </c>
      <c r="L81" s="2">
        <v>43284</v>
      </c>
      <c r="M81">
        <v>28</v>
      </c>
      <c r="N81">
        <v>1</v>
      </c>
      <c r="O81">
        <v>7</v>
      </c>
      <c r="P81">
        <v>1</v>
      </c>
      <c r="Q81" t="s">
        <v>7</v>
      </c>
    </row>
    <row r="82" spans="1:21">
      <c r="A82" t="s">
        <v>970</v>
      </c>
      <c r="B82" t="s">
        <v>973</v>
      </c>
      <c r="C82">
        <v>0</v>
      </c>
      <c r="E82" t="s">
        <v>965</v>
      </c>
      <c r="F82" t="s">
        <v>1011</v>
      </c>
      <c r="G82" t="s">
        <v>973</v>
      </c>
      <c r="H82">
        <v>6.8019999999999996</v>
      </c>
      <c r="K82">
        <v>108134559</v>
      </c>
      <c r="L82" s="2">
        <v>45815</v>
      </c>
      <c r="M82">
        <v>30</v>
      </c>
      <c r="N82">
        <v>1</v>
      </c>
      <c r="O82">
        <v>7</v>
      </c>
      <c r="P82">
        <v>1</v>
      </c>
      <c r="Q82" t="s">
        <v>7</v>
      </c>
    </row>
    <row r="83" spans="1:21">
      <c r="A83" t="s">
        <v>970</v>
      </c>
      <c r="B83" t="s">
        <v>973</v>
      </c>
      <c r="C83">
        <v>0</v>
      </c>
      <c r="E83" t="s">
        <v>965</v>
      </c>
      <c r="F83" t="s">
        <v>976</v>
      </c>
      <c r="G83" t="s">
        <v>973</v>
      </c>
      <c r="H83">
        <v>6.8019999999999996</v>
      </c>
      <c r="K83">
        <v>107471708</v>
      </c>
      <c r="L83" s="2">
        <v>45197</v>
      </c>
      <c r="M83">
        <v>30</v>
      </c>
      <c r="N83">
        <v>1</v>
      </c>
      <c r="O83">
        <v>7</v>
      </c>
      <c r="P83">
        <v>1</v>
      </c>
      <c r="Q83" t="s">
        <v>3</v>
      </c>
    </row>
    <row r="84" spans="1:21">
      <c r="A84" t="s">
        <v>970</v>
      </c>
      <c r="B84" t="s">
        <v>973</v>
      </c>
      <c r="C84">
        <v>0</v>
      </c>
      <c r="D84" t="s">
        <v>756</v>
      </c>
      <c r="E84" t="s">
        <v>965</v>
      </c>
      <c r="F84" t="s">
        <v>965</v>
      </c>
      <c r="G84" t="s">
        <v>973</v>
      </c>
      <c r="H84">
        <v>6.8019999999999996</v>
      </c>
      <c r="K84">
        <v>105472013</v>
      </c>
      <c r="L84" s="2">
        <v>43228</v>
      </c>
      <c r="M84">
        <v>30</v>
      </c>
      <c r="N84">
        <v>1</v>
      </c>
      <c r="O84">
        <v>8</v>
      </c>
      <c r="P84">
        <v>1</v>
      </c>
      <c r="Q84" t="s">
        <v>7</v>
      </c>
    </row>
    <row r="85" spans="1:21">
      <c r="A85" t="s">
        <v>970</v>
      </c>
      <c r="B85" t="s">
        <v>973</v>
      </c>
      <c r="C85">
        <v>0</v>
      </c>
      <c r="E85" t="s">
        <v>965</v>
      </c>
      <c r="F85" t="s">
        <v>969</v>
      </c>
      <c r="G85" t="s">
        <v>973</v>
      </c>
      <c r="H85">
        <v>6.8019999999999996</v>
      </c>
      <c r="K85">
        <v>105100516</v>
      </c>
      <c r="L85" s="2">
        <v>42871</v>
      </c>
      <c r="M85">
        <v>26</v>
      </c>
      <c r="N85">
        <v>1</v>
      </c>
      <c r="O85">
        <v>8</v>
      </c>
      <c r="P85">
        <v>1</v>
      </c>
      <c r="Q85" t="s">
        <v>7</v>
      </c>
    </row>
    <row r="86" spans="1:21">
      <c r="A86" t="s">
        <v>970</v>
      </c>
      <c r="B86" t="s">
        <v>973</v>
      </c>
      <c r="C86">
        <v>0</v>
      </c>
      <c r="E86" t="s">
        <v>965</v>
      </c>
      <c r="F86" t="s">
        <v>974</v>
      </c>
      <c r="G86" t="s">
        <v>973</v>
      </c>
      <c r="H86">
        <v>6.8019999999999996</v>
      </c>
      <c r="K86">
        <v>108185378</v>
      </c>
      <c r="L86" s="2">
        <v>45866</v>
      </c>
      <c r="M86">
        <v>21</v>
      </c>
      <c r="N86">
        <v>1</v>
      </c>
      <c r="O86">
        <v>8</v>
      </c>
      <c r="P86">
        <v>1</v>
      </c>
      <c r="Q86" t="s">
        <v>7</v>
      </c>
      <c r="U86" s="603"/>
    </row>
    <row r="87" spans="1:21">
      <c r="A87" t="s">
        <v>970</v>
      </c>
      <c r="B87" t="s">
        <v>973</v>
      </c>
      <c r="C87">
        <v>0</v>
      </c>
      <c r="E87" t="s">
        <v>965</v>
      </c>
      <c r="F87" t="s">
        <v>974</v>
      </c>
      <c r="G87" t="s">
        <v>973</v>
      </c>
      <c r="H87">
        <v>6.8019999999999996</v>
      </c>
      <c r="K87">
        <v>107453797</v>
      </c>
      <c r="L87" s="2">
        <v>45180</v>
      </c>
      <c r="M87">
        <v>23</v>
      </c>
      <c r="N87">
        <v>1</v>
      </c>
      <c r="O87">
        <v>7</v>
      </c>
      <c r="P87">
        <v>5</v>
      </c>
      <c r="Q87" t="s">
        <v>3</v>
      </c>
    </row>
    <row r="88" spans="1:21">
      <c r="A88" t="s">
        <v>970</v>
      </c>
      <c r="B88" t="s">
        <v>973</v>
      </c>
      <c r="C88">
        <v>0</v>
      </c>
      <c r="E88" t="s">
        <v>965</v>
      </c>
      <c r="G88" t="s">
        <v>973</v>
      </c>
      <c r="H88">
        <v>6.8019999999999996</v>
      </c>
      <c r="K88">
        <v>105251652</v>
      </c>
      <c r="L88" s="2">
        <v>43021</v>
      </c>
      <c r="M88">
        <v>21</v>
      </c>
      <c r="N88">
        <v>1</v>
      </c>
      <c r="O88">
        <v>7</v>
      </c>
      <c r="P88">
        <v>1</v>
      </c>
      <c r="Q88" t="s">
        <v>7</v>
      </c>
    </row>
    <row r="89" spans="1:21">
      <c r="A89" t="s">
        <v>970</v>
      </c>
      <c r="B89" t="s">
        <v>973</v>
      </c>
      <c r="C89">
        <v>0</v>
      </c>
      <c r="E89" t="s">
        <v>965</v>
      </c>
      <c r="G89" t="s">
        <v>973</v>
      </c>
      <c r="H89">
        <v>6.8019999999999996</v>
      </c>
      <c r="K89">
        <v>105812332</v>
      </c>
      <c r="L89" s="2">
        <v>43549</v>
      </c>
      <c r="M89">
        <v>21</v>
      </c>
      <c r="N89">
        <v>1</v>
      </c>
      <c r="O89">
        <v>7</v>
      </c>
      <c r="P89">
        <v>1</v>
      </c>
      <c r="Q89" t="s">
        <v>7</v>
      </c>
      <c r="U89" s="603"/>
    </row>
    <row r="90" spans="1:21">
      <c r="A90" t="s">
        <v>970</v>
      </c>
      <c r="B90" t="s">
        <v>973</v>
      </c>
      <c r="C90">
        <v>0</v>
      </c>
      <c r="E90" t="s">
        <v>965</v>
      </c>
      <c r="G90" t="s">
        <v>973</v>
      </c>
      <c r="H90">
        <v>6.8019999999999996</v>
      </c>
      <c r="K90">
        <v>105927533</v>
      </c>
      <c r="L90" s="2">
        <v>43661</v>
      </c>
      <c r="M90">
        <v>21</v>
      </c>
      <c r="N90">
        <v>1</v>
      </c>
      <c r="O90">
        <v>7</v>
      </c>
      <c r="P90">
        <v>1</v>
      </c>
      <c r="Q90" t="s">
        <v>7</v>
      </c>
      <c r="U90" s="603"/>
    </row>
    <row r="91" spans="1:21">
      <c r="A91" t="s">
        <v>970</v>
      </c>
      <c r="B91" t="s">
        <v>973</v>
      </c>
      <c r="C91">
        <v>0</v>
      </c>
      <c r="E91" t="s">
        <v>965</v>
      </c>
      <c r="G91" t="s">
        <v>973</v>
      </c>
      <c r="H91">
        <v>6.8019999999999996</v>
      </c>
      <c r="K91">
        <v>105851751</v>
      </c>
      <c r="L91" s="2">
        <v>43589</v>
      </c>
      <c r="M91">
        <v>21</v>
      </c>
      <c r="N91">
        <v>1</v>
      </c>
      <c r="O91">
        <v>7</v>
      </c>
      <c r="P91">
        <v>1</v>
      </c>
      <c r="Q91" t="s">
        <v>7</v>
      </c>
      <c r="U91" s="603"/>
    </row>
    <row r="92" spans="1:21">
      <c r="A92" t="s">
        <v>970</v>
      </c>
      <c r="B92" t="s">
        <v>973</v>
      </c>
      <c r="C92">
        <v>0</v>
      </c>
      <c r="E92" t="s">
        <v>965</v>
      </c>
      <c r="G92" t="s">
        <v>973</v>
      </c>
      <c r="H92">
        <v>6.8019999999999996</v>
      </c>
      <c r="K92">
        <v>106750298</v>
      </c>
      <c r="L92" s="2">
        <v>44501</v>
      </c>
      <c r="M92">
        <v>21</v>
      </c>
      <c r="N92">
        <v>1</v>
      </c>
      <c r="O92">
        <v>7</v>
      </c>
      <c r="P92">
        <v>1</v>
      </c>
      <c r="Q92" t="s">
        <v>7</v>
      </c>
    </row>
    <row r="93" spans="1:21">
      <c r="A93" t="s">
        <v>970</v>
      </c>
      <c r="B93" t="s">
        <v>973</v>
      </c>
      <c r="C93">
        <v>0</v>
      </c>
      <c r="E93" t="s">
        <v>965</v>
      </c>
      <c r="G93" t="s">
        <v>973</v>
      </c>
      <c r="H93">
        <v>6.8019999999999996</v>
      </c>
      <c r="K93">
        <v>108528080</v>
      </c>
      <c r="L93" s="2">
        <v>46185</v>
      </c>
      <c r="M93">
        <v>23</v>
      </c>
      <c r="N93">
        <v>1</v>
      </c>
      <c r="O93">
        <v>7</v>
      </c>
      <c r="P93">
        <v>1</v>
      </c>
      <c r="Q93" t="s">
        <v>3</v>
      </c>
    </row>
    <row r="94" spans="1:21">
      <c r="A94" t="s">
        <v>970</v>
      </c>
      <c r="B94" t="s">
        <v>973</v>
      </c>
      <c r="C94">
        <v>0</v>
      </c>
      <c r="E94" t="s">
        <v>965</v>
      </c>
      <c r="G94" t="s">
        <v>973</v>
      </c>
      <c r="H94">
        <v>6.8019999999999996</v>
      </c>
      <c r="K94">
        <v>106547772</v>
      </c>
      <c r="L94" s="2">
        <v>44302</v>
      </c>
      <c r="M94">
        <v>30</v>
      </c>
      <c r="N94">
        <v>1</v>
      </c>
      <c r="O94">
        <v>7</v>
      </c>
      <c r="P94">
        <v>4</v>
      </c>
      <c r="Q94" t="s">
        <v>7</v>
      </c>
    </row>
    <row r="95" spans="1:21">
      <c r="A95" t="s">
        <v>970</v>
      </c>
      <c r="B95" t="s">
        <v>973</v>
      </c>
      <c r="C95">
        <v>0</v>
      </c>
      <c r="E95" t="s">
        <v>965</v>
      </c>
      <c r="G95" t="s">
        <v>973</v>
      </c>
      <c r="H95">
        <v>6.8019999999999996</v>
      </c>
      <c r="K95">
        <v>106888816</v>
      </c>
      <c r="L95" s="2">
        <v>44632</v>
      </c>
      <c r="M95">
        <v>30</v>
      </c>
      <c r="N95">
        <v>1</v>
      </c>
      <c r="O95">
        <v>7</v>
      </c>
      <c r="P95">
        <v>1</v>
      </c>
      <c r="Q95" t="s">
        <v>7</v>
      </c>
    </row>
    <row r="96" spans="1:21">
      <c r="A96" t="s">
        <v>970</v>
      </c>
      <c r="B96" t="s">
        <v>973</v>
      </c>
      <c r="C96">
        <v>0</v>
      </c>
      <c r="E96" t="s">
        <v>965</v>
      </c>
      <c r="G96" t="s">
        <v>973</v>
      </c>
      <c r="H96">
        <v>6.8019999999999996</v>
      </c>
      <c r="K96">
        <v>108064946</v>
      </c>
      <c r="L96" s="2">
        <v>45747</v>
      </c>
      <c r="M96">
        <v>30</v>
      </c>
      <c r="N96">
        <v>1</v>
      </c>
      <c r="O96">
        <v>7</v>
      </c>
      <c r="P96">
        <v>1</v>
      </c>
      <c r="Q96" t="s">
        <v>7</v>
      </c>
    </row>
    <row r="97" spans="1:21">
      <c r="A97" t="s">
        <v>970</v>
      </c>
      <c r="B97" t="s">
        <v>973</v>
      </c>
      <c r="C97">
        <v>4.0000000000000001E-3</v>
      </c>
      <c r="D97" t="s">
        <v>757</v>
      </c>
      <c r="E97" t="s">
        <v>965</v>
      </c>
      <c r="F97" t="s">
        <v>974</v>
      </c>
      <c r="G97" t="s">
        <v>973</v>
      </c>
      <c r="H97">
        <v>6.806</v>
      </c>
      <c r="K97">
        <v>105713667</v>
      </c>
      <c r="L97" s="2">
        <v>43450</v>
      </c>
      <c r="M97">
        <v>31</v>
      </c>
      <c r="N97">
        <v>1</v>
      </c>
      <c r="O97">
        <v>7</v>
      </c>
      <c r="P97">
        <v>1</v>
      </c>
      <c r="Q97" t="s">
        <v>7</v>
      </c>
      <c r="U97" s="603"/>
    </row>
    <row r="98" spans="1:21">
      <c r="A98" t="s">
        <v>970</v>
      </c>
      <c r="B98" t="s">
        <v>973</v>
      </c>
      <c r="C98">
        <v>8.9999999999999993E-3</v>
      </c>
      <c r="D98" t="s">
        <v>757</v>
      </c>
      <c r="E98" t="s">
        <v>965</v>
      </c>
      <c r="F98" t="s">
        <v>974</v>
      </c>
      <c r="G98" t="s">
        <v>973</v>
      </c>
      <c r="H98">
        <v>6.8109999999999999</v>
      </c>
      <c r="K98">
        <v>105328522</v>
      </c>
      <c r="L98" s="2">
        <v>43089</v>
      </c>
      <c r="M98">
        <v>21</v>
      </c>
      <c r="N98">
        <v>2</v>
      </c>
      <c r="O98">
        <v>7</v>
      </c>
      <c r="P98">
        <v>1</v>
      </c>
      <c r="Q98" t="s">
        <v>3</v>
      </c>
    </row>
    <row r="99" spans="1:21">
      <c r="A99" t="s">
        <v>970</v>
      </c>
      <c r="B99" t="s">
        <v>973</v>
      </c>
      <c r="C99">
        <v>1.4E-2</v>
      </c>
      <c r="D99" t="s">
        <v>757</v>
      </c>
      <c r="E99" t="s">
        <v>965</v>
      </c>
      <c r="F99" t="s">
        <v>988</v>
      </c>
      <c r="G99" t="s">
        <v>973</v>
      </c>
      <c r="H99">
        <v>6.8159999999999998</v>
      </c>
      <c r="K99">
        <v>105240776</v>
      </c>
      <c r="L99" s="2">
        <v>43014</v>
      </c>
      <c r="M99">
        <v>21</v>
      </c>
      <c r="N99">
        <v>1</v>
      </c>
      <c r="O99">
        <v>0</v>
      </c>
      <c r="P99">
        <v>1</v>
      </c>
      <c r="Q99" t="s">
        <v>7</v>
      </c>
    </row>
    <row r="100" spans="1:21">
      <c r="A100" t="s">
        <v>970</v>
      </c>
      <c r="B100" t="s">
        <v>973</v>
      </c>
      <c r="C100">
        <v>1.4999999999999999E-2</v>
      </c>
      <c r="D100" t="s">
        <v>757</v>
      </c>
      <c r="E100" t="s">
        <v>965</v>
      </c>
      <c r="F100" t="s">
        <v>997</v>
      </c>
      <c r="G100" t="s">
        <v>973</v>
      </c>
      <c r="H100">
        <v>6.8170000000000002</v>
      </c>
      <c r="K100">
        <v>106087835</v>
      </c>
      <c r="L100" s="2">
        <v>43798</v>
      </c>
      <c r="M100">
        <v>21</v>
      </c>
      <c r="N100">
        <v>1</v>
      </c>
      <c r="O100">
        <v>0</v>
      </c>
      <c r="P100">
        <v>1</v>
      </c>
      <c r="Q100" t="s">
        <v>7</v>
      </c>
      <c r="U100" s="603"/>
    </row>
    <row r="101" spans="1:21">
      <c r="A101" t="s">
        <v>970</v>
      </c>
      <c r="B101" t="s">
        <v>973</v>
      </c>
      <c r="C101">
        <v>1.6E-2</v>
      </c>
      <c r="D101" t="s">
        <v>757</v>
      </c>
      <c r="E101" t="s">
        <v>965</v>
      </c>
      <c r="F101" t="s">
        <v>969</v>
      </c>
      <c r="G101" t="s">
        <v>973</v>
      </c>
      <c r="H101">
        <v>6.8179999999999996</v>
      </c>
      <c r="K101">
        <v>105169259</v>
      </c>
      <c r="L101" s="2">
        <v>42934</v>
      </c>
      <c r="M101">
        <v>21</v>
      </c>
      <c r="N101">
        <v>1</v>
      </c>
      <c r="O101">
        <v>0</v>
      </c>
      <c r="P101">
        <v>1</v>
      </c>
      <c r="Q101" t="s">
        <v>8</v>
      </c>
    </row>
    <row r="102" spans="1:21">
      <c r="A102" t="s">
        <v>970</v>
      </c>
      <c r="B102" t="s">
        <v>973</v>
      </c>
      <c r="C102">
        <v>1.9E-2</v>
      </c>
      <c r="D102" t="s">
        <v>757</v>
      </c>
      <c r="E102" t="s">
        <v>965</v>
      </c>
      <c r="F102" t="s">
        <v>969</v>
      </c>
      <c r="G102" t="s">
        <v>973</v>
      </c>
      <c r="H102">
        <v>6.8209999999999997</v>
      </c>
      <c r="K102">
        <v>107761990</v>
      </c>
      <c r="L102" s="2">
        <v>45463</v>
      </c>
      <c r="M102">
        <v>31</v>
      </c>
      <c r="N102">
        <v>1</v>
      </c>
      <c r="O102">
        <v>0</v>
      </c>
      <c r="P102">
        <v>1</v>
      </c>
      <c r="Q102" t="s">
        <v>7</v>
      </c>
    </row>
    <row r="103" spans="1:21">
      <c r="A103" t="s">
        <v>970</v>
      </c>
      <c r="B103" t="s">
        <v>973</v>
      </c>
      <c r="C103">
        <v>1.9E-2</v>
      </c>
      <c r="D103" t="s">
        <v>757</v>
      </c>
      <c r="E103" t="s">
        <v>965</v>
      </c>
      <c r="F103" t="s">
        <v>974</v>
      </c>
      <c r="G103" t="s">
        <v>973</v>
      </c>
      <c r="H103">
        <v>6.8209999999999997</v>
      </c>
      <c r="K103">
        <v>107817333</v>
      </c>
      <c r="L103" s="2">
        <v>45517</v>
      </c>
      <c r="M103">
        <v>21</v>
      </c>
      <c r="N103">
        <v>1</v>
      </c>
      <c r="O103">
        <v>0</v>
      </c>
      <c r="P103">
        <v>1</v>
      </c>
      <c r="Q103" t="s">
        <v>7</v>
      </c>
    </row>
    <row r="104" spans="1:21">
      <c r="A104" t="s">
        <v>970</v>
      </c>
      <c r="B104" t="s">
        <v>965</v>
      </c>
      <c r="C104">
        <v>0</v>
      </c>
      <c r="E104" t="s">
        <v>973</v>
      </c>
      <c r="F104" t="s">
        <v>1011</v>
      </c>
      <c r="G104" t="s">
        <v>962</v>
      </c>
      <c r="H104">
        <v>0</v>
      </c>
      <c r="K104">
        <v>107787982</v>
      </c>
      <c r="L104" s="2">
        <v>45488</v>
      </c>
      <c r="M104">
        <v>30</v>
      </c>
      <c r="N104">
        <v>1</v>
      </c>
      <c r="O104">
        <v>7</v>
      </c>
      <c r="P104">
        <v>1</v>
      </c>
      <c r="Q104" t="s">
        <v>7</v>
      </c>
    </row>
    <row r="105" spans="1:21">
      <c r="A105" t="s">
        <v>970</v>
      </c>
      <c r="B105" t="s">
        <v>965</v>
      </c>
      <c r="C105">
        <v>4.2000000000000003E-2</v>
      </c>
      <c r="D105" t="s">
        <v>758</v>
      </c>
      <c r="E105" t="s">
        <v>973</v>
      </c>
      <c r="F105" t="s">
        <v>976</v>
      </c>
      <c r="G105" t="s">
        <v>962</v>
      </c>
      <c r="H105">
        <v>0</v>
      </c>
      <c r="K105">
        <v>107482671</v>
      </c>
      <c r="L105" s="2">
        <v>45203</v>
      </c>
      <c r="M105">
        <v>21</v>
      </c>
      <c r="N105">
        <v>1</v>
      </c>
      <c r="O105">
        <v>0</v>
      </c>
      <c r="P105">
        <v>1</v>
      </c>
      <c r="Q105" t="s">
        <v>3</v>
      </c>
    </row>
    <row r="106" spans="1:21">
      <c r="A106" t="s">
        <v>970</v>
      </c>
      <c r="B106" t="s">
        <v>965</v>
      </c>
      <c r="C106">
        <v>6.0000000000000001E-3</v>
      </c>
      <c r="D106" t="s">
        <v>758</v>
      </c>
      <c r="E106" t="s">
        <v>973</v>
      </c>
      <c r="F106" t="s">
        <v>976</v>
      </c>
      <c r="G106" t="s">
        <v>962</v>
      </c>
      <c r="H106">
        <v>0</v>
      </c>
      <c r="K106">
        <v>106422367</v>
      </c>
      <c r="L106" s="2">
        <v>44166</v>
      </c>
      <c r="M106">
        <v>32</v>
      </c>
      <c r="N106">
        <v>1</v>
      </c>
      <c r="O106">
        <v>7</v>
      </c>
      <c r="P106">
        <v>1</v>
      </c>
      <c r="Q106" t="s">
        <v>7</v>
      </c>
    </row>
    <row r="107" spans="1:21">
      <c r="A107" t="s">
        <v>970</v>
      </c>
      <c r="B107" t="s">
        <v>965</v>
      </c>
      <c r="C107">
        <v>0</v>
      </c>
      <c r="E107" t="s">
        <v>973</v>
      </c>
      <c r="F107" t="s">
        <v>990</v>
      </c>
      <c r="G107" t="s">
        <v>962</v>
      </c>
      <c r="H107">
        <v>0</v>
      </c>
      <c r="K107">
        <v>105580820</v>
      </c>
      <c r="L107" s="2">
        <v>43336</v>
      </c>
      <c r="M107">
        <v>24</v>
      </c>
      <c r="N107">
        <v>1</v>
      </c>
      <c r="O107">
        <v>7</v>
      </c>
      <c r="P107">
        <v>2</v>
      </c>
      <c r="Q107" t="s">
        <v>7</v>
      </c>
    </row>
    <row r="108" spans="1:21">
      <c r="A108" t="s">
        <v>970</v>
      </c>
      <c r="B108" t="s">
        <v>965</v>
      </c>
      <c r="C108">
        <v>0</v>
      </c>
      <c r="E108" t="s">
        <v>973</v>
      </c>
      <c r="F108" t="s">
        <v>1010</v>
      </c>
      <c r="G108" t="s">
        <v>962</v>
      </c>
      <c r="H108">
        <v>0</v>
      </c>
      <c r="K108">
        <v>107366351</v>
      </c>
      <c r="L108" s="2">
        <v>45091</v>
      </c>
      <c r="M108">
        <v>31</v>
      </c>
      <c r="N108">
        <v>1</v>
      </c>
      <c r="O108">
        <v>22</v>
      </c>
      <c r="P108">
        <v>1</v>
      </c>
      <c r="Q108" t="s">
        <v>7</v>
      </c>
    </row>
    <row r="109" spans="1:21">
      <c r="A109" t="s">
        <v>970</v>
      </c>
      <c r="B109" t="s">
        <v>965</v>
      </c>
      <c r="C109">
        <v>1.9E-2</v>
      </c>
      <c r="D109" t="s">
        <v>758</v>
      </c>
      <c r="E109" t="s">
        <v>973</v>
      </c>
      <c r="G109" t="s">
        <v>962</v>
      </c>
      <c r="H109">
        <v>0</v>
      </c>
      <c r="K109">
        <v>105212509</v>
      </c>
      <c r="L109" s="2">
        <v>42983</v>
      </c>
      <c r="M109">
        <v>1</v>
      </c>
      <c r="N109">
        <v>2</v>
      </c>
      <c r="O109">
        <v>12</v>
      </c>
      <c r="P109">
        <v>4</v>
      </c>
      <c r="Q109" t="s">
        <v>8</v>
      </c>
    </row>
    <row r="110" spans="1:21">
      <c r="A110" t="s">
        <v>970</v>
      </c>
      <c r="B110" t="s">
        <v>965</v>
      </c>
      <c r="C110">
        <v>0</v>
      </c>
      <c r="E110" t="s">
        <v>973</v>
      </c>
      <c r="G110" t="s">
        <v>962</v>
      </c>
      <c r="H110">
        <v>0</v>
      </c>
      <c r="K110">
        <v>106592483</v>
      </c>
      <c r="L110" s="2">
        <v>44350</v>
      </c>
      <c r="M110">
        <v>21</v>
      </c>
      <c r="N110">
        <v>2</v>
      </c>
      <c r="O110">
        <v>8</v>
      </c>
      <c r="P110">
        <v>1</v>
      </c>
      <c r="Q110" t="s">
        <v>7</v>
      </c>
      <c r="U110" s="603"/>
    </row>
    <row r="111" spans="1:21">
      <c r="A111" t="s">
        <v>970</v>
      </c>
      <c r="B111" t="s">
        <v>965</v>
      </c>
      <c r="C111">
        <v>5.0000000000000001E-3</v>
      </c>
      <c r="D111" t="s">
        <v>756</v>
      </c>
      <c r="E111" t="s">
        <v>973</v>
      </c>
      <c r="F111" t="s">
        <v>976</v>
      </c>
      <c r="G111" t="s">
        <v>962</v>
      </c>
      <c r="H111">
        <v>5.0000000000000001E-3</v>
      </c>
      <c r="K111">
        <v>108468535</v>
      </c>
      <c r="L111" s="2">
        <v>46129</v>
      </c>
      <c r="M111">
        <v>21</v>
      </c>
      <c r="N111">
        <v>1</v>
      </c>
      <c r="O111">
        <v>7</v>
      </c>
      <c r="P111">
        <v>1</v>
      </c>
      <c r="Q111" t="s">
        <v>7</v>
      </c>
    </row>
    <row r="112" spans="1:21">
      <c r="A112" t="s">
        <v>970</v>
      </c>
      <c r="B112" t="s">
        <v>965</v>
      </c>
      <c r="C112">
        <v>8.9999999999999993E-3</v>
      </c>
      <c r="D112" t="s">
        <v>756</v>
      </c>
      <c r="E112" t="s">
        <v>973</v>
      </c>
      <c r="F112" t="s">
        <v>976</v>
      </c>
      <c r="G112" t="s">
        <v>962</v>
      </c>
      <c r="H112">
        <v>8.9999999999999993E-3</v>
      </c>
      <c r="K112">
        <v>108275163</v>
      </c>
      <c r="L112" s="2">
        <v>45953</v>
      </c>
      <c r="M112">
        <v>21</v>
      </c>
      <c r="N112">
        <v>1</v>
      </c>
      <c r="O112">
        <v>7</v>
      </c>
      <c r="P112">
        <v>1</v>
      </c>
      <c r="Q112" t="s">
        <v>7</v>
      </c>
    </row>
    <row r="113" spans="1:28">
      <c r="A113" t="s">
        <v>970</v>
      </c>
      <c r="B113" t="s">
        <v>965</v>
      </c>
      <c r="C113">
        <v>0.01</v>
      </c>
      <c r="D113" t="s">
        <v>756</v>
      </c>
      <c r="E113" t="s">
        <v>973</v>
      </c>
      <c r="F113" t="s">
        <v>976</v>
      </c>
      <c r="G113" t="s">
        <v>962</v>
      </c>
      <c r="H113">
        <v>0.01</v>
      </c>
      <c r="K113">
        <v>105888449</v>
      </c>
      <c r="L113" s="2">
        <v>43560</v>
      </c>
      <c r="M113">
        <v>21</v>
      </c>
      <c r="N113">
        <v>2</v>
      </c>
      <c r="O113">
        <v>0</v>
      </c>
      <c r="P113">
        <v>1</v>
      </c>
      <c r="Q113" t="s">
        <v>3</v>
      </c>
      <c r="U113" s="603"/>
    </row>
    <row r="114" spans="1:28">
      <c r="A114" t="s">
        <v>970</v>
      </c>
      <c r="B114" t="s">
        <v>965</v>
      </c>
      <c r="C114">
        <v>1.4E-2</v>
      </c>
      <c r="D114" t="s">
        <v>756</v>
      </c>
      <c r="E114" t="s">
        <v>973</v>
      </c>
      <c r="F114" t="s">
        <v>976</v>
      </c>
      <c r="G114" t="s">
        <v>962</v>
      </c>
      <c r="H114">
        <v>1.4E-2</v>
      </c>
      <c r="K114">
        <v>105390828</v>
      </c>
      <c r="L114" s="2">
        <v>43154</v>
      </c>
      <c r="M114">
        <v>21</v>
      </c>
      <c r="N114">
        <v>1</v>
      </c>
      <c r="P114">
        <v>1</v>
      </c>
      <c r="Q114" t="s">
        <v>3</v>
      </c>
      <c r="U114" s="603"/>
    </row>
    <row r="115" spans="1:28">
      <c r="A115" t="s">
        <v>970</v>
      </c>
      <c r="B115" t="s">
        <v>965</v>
      </c>
      <c r="C115">
        <v>1.9E-2</v>
      </c>
      <c r="D115" t="s">
        <v>756</v>
      </c>
      <c r="E115" t="s">
        <v>973</v>
      </c>
      <c r="F115" t="s">
        <v>976</v>
      </c>
      <c r="G115" t="s">
        <v>962</v>
      </c>
      <c r="H115">
        <v>1.9E-2</v>
      </c>
      <c r="K115">
        <v>104939553</v>
      </c>
      <c r="L115" s="2">
        <v>42711</v>
      </c>
      <c r="M115">
        <v>30</v>
      </c>
      <c r="N115">
        <v>1</v>
      </c>
      <c r="O115">
        <v>0</v>
      </c>
      <c r="P115">
        <v>1</v>
      </c>
      <c r="Q115" t="s">
        <v>7</v>
      </c>
      <c r="U115" s="603"/>
    </row>
    <row r="116" spans="1:28">
      <c r="A116" t="s">
        <v>970</v>
      </c>
      <c r="B116" t="s">
        <v>965</v>
      </c>
      <c r="C116">
        <v>2.8000000000000001E-2</v>
      </c>
      <c r="D116" t="s">
        <v>756</v>
      </c>
      <c r="E116" t="s">
        <v>973</v>
      </c>
      <c r="F116" t="s">
        <v>976</v>
      </c>
      <c r="G116" t="s">
        <v>962</v>
      </c>
      <c r="H116">
        <v>2.8000000000000001E-2</v>
      </c>
      <c r="K116">
        <v>105944937</v>
      </c>
      <c r="L116" s="2">
        <v>43678</v>
      </c>
      <c r="M116">
        <v>30</v>
      </c>
      <c r="N116">
        <v>1</v>
      </c>
      <c r="O116">
        <v>0</v>
      </c>
      <c r="P116">
        <v>1</v>
      </c>
      <c r="Q116" t="s">
        <v>7</v>
      </c>
      <c r="U116" s="603"/>
    </row>
    <row r="117" spans="1:28">
      <c r="A117" t="s">
        <v>970</v>
      </c>
      <c r="B117" t="s">
        <v>965</v>
      </c>
      <c r="C117">
        <v>3.7999999999999999E-2</v>
      </c>
      <c r="D117" t="s">
        <v>756</v>
      </c>
      <c r="E117" t="s">
        <v>973</v>
      </c>
      <c r="F117" t="s">
        <v>976</v>
      </c>
      <c r="G117" t="s">
        <v>962</v>
      </c>
      <c r="H117">
        <v>3.7999999999999999E-2</v>
      </c>
      <c r="K117">
        <v>105744513</v>
      </c>
      <c r="L117" s="2">
        <v>43481</v>
      </c>
      <c r="M117">
        <v>21</v>
      </c>
      <c r="N117">
        <v>1</v>
      </c>
      <c r="O117">
        <v>0</v>
      </c>
      <c r="P117">
        <v>1</v>
      </c>
      <c r="Q117" t="s">
        <v>7</v>
      </c>
      <c r="U117" s="603"/>
    </row>
    <row r="118" spans="1:28">
      <c r="A118" t="s">
        <v>970</v>
      </c>
      <c r="B118" t="s">
        <v>965</v>
      </c>
      <c r="C118">
        <v>3.7999999999999999E-2</v>
      </c>
      <c r="D118" t="s">
        <v>756</v>
      </c>
      <c r="E118" t="s">
        <v>973</v>
      </c>
      <c r="F118" t="s">
        <v>976</v>
      </c>
      <c r="G118" t="s">
        <v>962</v>
      </c>
      <c r="H118">
        <v>3.7999999999999999E-2</v>
      </c>
      <c r="K118">
        <v>106614425</v>
      </c>
      <c r="L118" s="2">
        <v>44376</v>
      </c>
      <c r="M118">
        <v>21</v>
      </c>
      <c r="N118">
        <v>1</v>
      </c>
      <c r="O118">
        <v>0</v>
      </c>
      <c r="P118">
        <v>1</v>
      </c>
      <c r="Q118" t="s">
        <v>7</v>
      </c>
    </row>
    <row r="119" spans="1:28">
      <c r="A119" t="s">
        <v>970</v>
      </c>
      <c r="B119" t="s">
        <v>965</v>
      </c>
      <c r="C119">
        <v>0.55000000000000004</v>
      </c>
      <c r="D119" t="s">
        <v>765</v>
      </c>
      <c r="E119" t="s">
        <v>976</v>
      </c>
      <c r="F119" t="s">
        <v>973</v>
      </c>
      <c r="G119" t="s">
        <v>962</v>
      </c>
      <c r="H119">
        <v>4.1000000000000002E-2</v>
      </c>
      <c r="K119">
        <v>107693400</v>
      </c>
      <c r="L119" s="2">
        <v>45399</v>
      </c>
      <c r="M119">
        <v>21</v>
      </c>
      <c r="N119">
        <v>1</v>
      </c>
      <c r="O119">
        <v>0</v>
      </c>
      <c r="P119">
        <v>1</v>
      </c>
      <c r="Q119" t="s">
        <v>7</v>
      </c>
      <c r="U119" s="603"/>
    </row>
    <row r="120" spans="1:28">
      <c r="A120" t="s">
        <v>970</v>
      </c>
      <c r="B120" t="s">
        <v>965</v>
      </c>
      <c r="C120">
        <v>1</v>
      </c>
      <c r="D120" t="s">
        <v>758</v>
      </c>
      <c r="E120" t="s">
        <v>971</v>
      </c>
      <c r="F120" t="s">
        <v>973</v>
      </c>
      <c r="G120" t="s">
        <v>962</v>
      </c>
      <c r="H120">
        <v>4.1000000000000002E-2</v>
      </c>
      <c r="K120">
        <v>108185380</v>
      </c>
      <c r="L120" s="2">
        <v>45866</v>
      </c>
      <c r="M120">
        <v>21</v>
      </c>
      <c r="N120">
        <v>1</v>
      </c>
      <c r="O120">
        <v>7</v>
      </c>
      <c r="P120">
        <v>1</v>
      </c>
      <c r="Q120" t="s">
        <v>7</v>
      </c>
      <c r="U120" s="603"/>
    </row>
    <row r="121" spans="1:28">
      <c r="A121" t="s">
        <v>970</v>
      </c>
      <c r="B121" t="s">
        <v>965</v>
      </c>
      <c r="C121">
        <v>4.7E-2</v>
      </c>
      <c r="D121" t="s">
        <v>756</v>
      </c>
      <c r="E121" t="s">
        <v>973</v>
      </c>
      <c r="F121" t="s">
        <v>976</v>
      </c>
      <c r="G121" t="s">
        <v>962</v>
      </c>
      <c r="H121">
        <v>4.7E-2</v>
      </c>
      <c r="K121">
        <v>107712454</v>
      </c>
      <c r="L121" s="2">
        <v>45420</v>
      </c>
      <c r="M121">
        <v>24</v>
      </c>
      <c r="N121">
        <v>2</v>
      </c>
      <c r="O121">
        <v>4</v>
      </c>
      <c r="P121">
        <v>1</v>
      </c>
      <c r="Q121" t="s">
        <v>7</v>
      </c>
    </row>
    <row r="122" spans="1:28">
      <c r="A122" t="s">
        <v>970</v>
      </c>
      <c r="B122" t="s">
        <v>965</v>
      </c>
      <c r="C122">
        <v>0.05</v>
      </c>
      <c r="D122" t="s">
        <v>762</v>
      </c>
      <c r="E122" t="s">
        <v>973</v>
      </c>
      <c r="F122" t="s">
        <v>976</v>
      </c>
      <c r="G122" t="s">
        <v>962</v>
      </c>
      <c r="H122">
        <v>0.05</v>
      </c>
      <c r="K122">
        <v>107693399</v>
      </c>
      <c r="L122" s="2">
        <v>45399</v>
      </c>
      <c r="M122">
        <v>21</v>
      </c>
      <c r="N122">
        <v>1</v>
      </c>
      <c r="O122">
        <v>0</v>
      </c>
      <c r="P122">
        <v>1</v>
      </c>
      <c r="Q122" t="s">
        <v>3</v>
      </c>
    </row>
    <row r="123" spans="1:28">
      <c r="A123" t="s">
        <v>970</v>
      </c>
      <c r="B123" t="s">
        <v>965</v>
      </c>
      <c r="C123">
        <v>0.05</v>
      </c>
      <c r="D123" t="s">
        <v>756</v>
      </c>
      <c r="E123" t="s">
        <v>973</v>
      </c>
      <c r="F123" t="s">
        <v>1008</v>
      </c>
      <c r="G123" t="s">
        <v>962</v>
      </c>
      <c r="H123">
        <v>0.05</v>
      </c>
      <c r="K123">
        <v>107361950</v>
      </c>
      <c r="L123" s="2">
        <v>45088</v>
      </c>
      <c r="M123">
        <v>19</v>
      </c>
      <c r="N123">
        <v>1</v>
      </c>
      <c r="O123">
        <v>0</v>
      </c>
      <c r="P123">
        <v>1</v>
      </c>
      <c r="Q123" t="s">
        <v>7</v>
      </c>
    </row>
    <row r="124" spans="1:28">
      <c r="A124" t="s">
        <v>970</v>
      </c>
      <c r="B124" t="s">
        <v>965</v>
      </c>
      <c r="C124">
        <v>5.7000000000000002E-2</v>
      </c>
      <c r="D124" t="s">
        <v>756</v>
      </c>
      <c r="E124" t="s">
        <v>973</v>
      </c>
      <c r="F124" t="s">
        <v>976</v>
      </c>
      <c r="G124" t="s">
        <v>962</v>
      </c>
      <c r="H124">
        <v>5.7000000000000002E-2</v>
      </c>
      <c r="K124">
        <v>106267434</v>
      </c>
      <c r="L124" s="2">
        <v>44015</v>
      </c>
      <c r="M124">
        <v>21</v>
      </c>
      <c r="N124">
        <v>1</v>
      </c>
      <c r="O124">
        <v>0</v>
      </c>
      <c r="P124">
        <v>1</v>
      </c>
      <c r="Q124" t="s">
        <v>7</v>
      </c>
    </row>
    <row r="125" spans="1:28">
      <c r="A125" t="s">
        <v>970</v>
      </c>
      <c r="B125" t="s">
        <v>965</v>
      </c>
      <c r="C125">
        <v>5.7000000000000002E-2</v>
      </c>
      <c r="D125" t="s">
        <v>756</v>
      </c>
      <c r="E125" t="s">
        <v>973</v>
      </c>
      <c r="F125" t="s">
        <v>976</v>
      </c>
      <c r="G125" t="s">
        <v>962</v>
      </c>
      <c r="H125">
        <v>5.7000000000000002E-2</v>
      </c>
      <c r="K125">
        <v>105877329</v>
      </c>
      <c r="L125" s="2">
        <v>43608</v>
      </c>
      <c r="M125">
        <v>30</v>
      </c>
      <c r="N125">
        <v>1</v>
      </c>
      <c r="O125">
        <v>0</v>
      </c>
      <c r="P125">
        <v>1</v>
      </c>
      <c r="Q125" t="s">
        <v>9</v>
      </c>
    </row>
    <row r="126" spans="1:28" s="607" customFormat="1">
      <c r="A126" s="610" t="s">
        <v>970</v>
      </c>
      <c r="B126" t="s">
        <v>965</v>
      </c>
      <c r="C126">
        <v>5.8999999999999997E-2</v>
      </c>
      <c r="D126" t="s">
        <v>762</v>
      </c>
      <c r="E126" t="s">
        <v>973</v>
      </c>
      <c r="F126" t="s">
        <v>976</v>
      </c>
      <c r="G126" t="s">
        <v>962</v>
      </c>
      <c r="H126">
        <v>5.8999999999999997E-2</v>
      </c>
      <c r="I126"/>
      <c r="J126"/>
      <c r="K126">
        <v>107191838</v>
      </c>
      <c r="L126" s="608">
        <v>44917</v>
      </c>
      <c r="M126">
        <v>21</v>
      </c>
      <c r="N126">
        <v>2</v>
      </c>
      <c r="O126">
        <v>0</v>
      </c>
      <c r="P126">
        <v>1</v>
      </c>
      <c r="Q126" t="s">
        <v>7</v>
      </c>
      <c r="R126"/>
      <c r="S126"/>
      <c r="T126"/>
      <c r="U126"/>
      <c r="V126"/>
      <c r="W126"/>
      <c r="X126"/>
      <c r="Y126"/>
      <c r="Z126"/>
      <c r="AA126"/>
      <c r="AB126"/>
    </row>
    <row r="127" spans="1:28">
      <c r="A127" t="s">
        <v>970</v>
      </c>
      <c r="B127" t="s">
        <v>965</v>
      </c>
      <c r="C127">
        <v>0.53</v>
      </c>
      <c r="D127" t="s">
        <v>758</v>
      </c>
      <c r="E127" t="s">
        <v>976</v>
      </c>
      <c r="F127" t="s">
        <v>973</v>
      </c>
      <c r="G127" t="s">
        <v>962</v>
      </c>
      <c r="H127">
        <v>6.0999999999999999E-2</v>
      </c>
      <c r="K127">
        <v>108185383</v>
      </c>
      <c r="L127" s="2">
        <v>45867</v>
      </c>
      <c r="M127">
        <v>28</v>
      </c>
      <c r="N127">
        <v>1</v>
      </c>
      <c r="O127">
        <v>0</v>
      </c>
      <c r="P127">
        <v>1</v>
      </c>
      <c r="Q127" t="s">
        <v>7</v>
      </c>
    </row>
    <row r="128" spans="1:28">
      <c r="A128" t="s">
        <v>970</v>
      </c>
      <c r="B128" t="s">
        <v>965</v>
      </c>
      <c r="C128">
        <v>0.5</v>
      </c>
      <c r="D128" t="s">
        <v>765</v>
      </c>
      <c r="E128" t="s">
        <v>976</v>
      </c>
      <c r="F128" t="s">
        <v>973</v>
      </c>
      <c r="G128" t="s">
        <v>962</v>
      </c>
      <c r="H128">
        <v>9.0999999999999998E-2</v>
      </c>
      <c r="K128">
        <v>107025838</v>
      </c>
      <c r="L128" s="2">
        <v>44767</v>
      </c>
      <c r="M128">
        <v>21</v>
      </c>
      <c r="N128">
        <v>1</v>
      </c>
      <c r="O128">
        <v>0</v>
      </c>
      <c r="P128">
        <v>1</v>
      </c>
      <c r="Q128" t="s">
        <v>7</v>
      </c>
    </row>
    <row r="129" spans="1:21">
      <c r="A129" t="s">
        <v>970</v>
      </c>
      <c r="B129" t="s">
        <v>965</v>
      </c>
      <c r="C129">
        <v>9.4E-2</v>
      </c>
      <c r="D129" t="s">
        <v>756</v>
      </c>
      <c r="E129" t="s">
        <v>973</v>
      </c>
      <c r="F129" t="s">
        <v>976</v>
      </c>
      <c r="G129" t="s">
        <v>962</v>
      </c>
      <c r="H129">
        <v>9.4E-2</v>
      </c>
      <c r="K129">
        <v>105764038</v>
      </c>
      <c r="L129" s="2">
        <v>43492</v>
      </c>
      <c r="M129">
        <v>21</v>
      </c>
      <c r="N129">
        <v>1</v>
      </c>
      <c r="O129">
        <v>0</v>
      </c>
      <c r="P129">
        <v>1</v>
      </c>
      <c r="Q129" t="s">
        <v>3</v>
      </c>
    </row>
    <row r="130" spans="1:21">
      <c r="A130" t="s">
        <v>970</v>
      </c>
      <c r="B130" t="s">
        <v>965</v>
      </c>
      <c r="C130">
        <v>0.1</v>
      </c>
      <c r="D130" t="s">
        <v>756</v>
      </c>
      <c r="E130" t="s">
        <v>973</v>
      </c>
      <c r="F130" t="s">
        <v>976</v>
      </c>
      <c r="G130" t="s">
        <v>962</v>
      </c>
      <c r="H130">
        <v>0.1</v>
      </c>
      <c r="K130">
        <v>107090136</v>
      </c>
      <c r="L130" s="2">
        <v>44829</v>
      </c>
      <c r="M130">
        <v>1</v>
      </c>
      <c r="N130">
        <v>1</v>
      </c>
      <c r="O130">
        <v>0</v>
      </c>
      <c r="P130">
        <v>5</v>
      </c>
      <c r="Q130" t="s">
        <v>7</v>
      </c>
    </row>
    <row r="131" spans="1:21">
      <c r="A131" t="s">
        <v>970</v>
      </c>
      <c r="B131" t="s">
        <v>965</v>
      </c>
      <c r="C131">
        <v>0.47</v>
      </c>
      <c r="D131" t="s">
        <v>758</v>
      </c>
      <c r="E131" t="s">
        <v>976</v>
      </c>
      <c r="F131" t="s">
        <v>973</v>
      </c>
      <c r="G131" t="s">
        <v>962</v>
      </c>
      <c r="H131">
        <v>0.121</v>
      </c>
      <c r="K131">
        <v>107564934</v>
      </c>
      <c r="L131" s="2">
        <v>45273</v>
      </c>
      <c r="M131">
        <v>21</v>
      </c>
      <c r="N131">
        <v>1</v>
      </c>
      <c r="O131">
        <v>0</v>
      </c>
      <c r="P131">
        <v>2</v>
      </c>
      <c r="Q131" t="s">
        <v>7</v>
      </c>
    </row>
    <row r="132" spans="1:21">
      <c r="A132" t="s">
        <v>970</v>
      </c>
      <c r="B132" t="s">
        <v>965</v>
      </c>
      <c r="C132">
        <v>0.16</v>
      </c>
      <c r="D132" t="s">
        <v>756</v>
      </c>
      <c r="E132" t="s">
        <v>973</v>
      </c>
      <c r="F132" t="s">
        <v>976</v>
      </c>
      <c r="G132" t="s">
        <v>962</v>
      </c>
      <c r="H132">
        <v>0.16</v>
      </c>
      <c r="K132">
        <v>106594773</v>
      </c>
      <c r="L132" s="2">
        <v>44352</v>
      </c>
      <c r="M132">
        <v>1</v>
      </c>
      <c r="N132">
        <v>1</v>
      </c>
      <c r="O132">
        <v>0</v>
      </c>
      <c r="P132">
        <v>5</v>
      </c>
      <c r="Q132" t="s">
        <v>8</v>
      </c>
    </row>
    <row r="133" spans="1:21">
      <c r="A133" t="s">
        <v>970</v>
      </c>
      <c r="B133" t="s">
        <v>965</v>
      </c>
      <c r="C133">
        <v>0.18</v>
      </c>
      <c r="D133" t="s">
        <v>756</v>
      </c>
      <c r="E133" t="s">
        <v>973</v>
      </c>
      <c r="F133" t="s">
        <v>976</v>
      </c>
      <c r="G133" t="s">
        <v>962</v>
      </c>
      <c r="H133">
        <v>0.18</v>
      </c>
      <c r="K133">
        <v>107465196</v>
      </c>
      <c r="L133" s="2">
        <v>45189</v>
      </c>
      <c r="M133">
        <v>1</v>
      </c>
      <c r="N133">
        <v>1</v>
      </c>
      <c r="O133">
        <v>0</v>
      </c>
      <c r="P133">
        <v>1</v>
      </c>
      <c r="Q133" t="s">
        <v>7</v>
      </c>
    </row>
    <row r="134" spans="1:21">
      <c r="A134" t="s">
        <v>970</v>
      </c>
      <c r="B134" t="s">
        <v>965</v>
      </c>
      <c r="C134">
        <v>0.41</v>
      </c>
      <c r="D134" t="s">
        <v>758</v>
      </c>
      <c r="E134" t="s">
        <v>976</v>
      </c>
      <c r="F134" t="s">
        <v>973</v>
      </c>
      <c r="G134" t="s">
        <v>962</v>
      </c>
      <c r="H134">
        <v>0.18099999999999999</v>
      </c>
      <c r="K134">
        <v>105728397</v>
      </c>
      <c r="L134" s="2">
        <v>43467</v>
      </c>
      <c r="M134">
        <v>19</v>
      </c>
      <c r="N134">
        <v>1</v>
      </c>
      <c r="O134">
        <v>0</v>
      </c>
      <c r="P134">
        <v>1</v>
      </c>
      <c r="Q134" t="s">
        <v>7</v>
      </c>
    </row>
    <row r="135" spans="1:21">
      <c r="A135" t="s">
        <v>970</v>
      </c>
      <c r="B135" t="s">
        <v>965</v>
      </c>
      <c r="C135">
        <v>0.19</v>
      </c>
      <c r="D135" t="s">
        <v>756</v>
      </c>
      <c r="E135" t="s">
        <v>973</v>
      </c>
      <c r="F135" t="s">
        <v>976</v>
      </c>
      <c r="G135" t="s">
        <v>962</v>
      </c>
      <c r="H135">
        <v>0.19</v>
      </c>
      <c r="K135">
        <v>106957894</v>
      </c>
      <c r="L135" s="2">
        <v>44698</v>
      </c>
      <c r="M135">
        <v>21</v>
      </c>
      <c r="N135">
        <v>1</v>
      </c>
      <c r="O135">
        <v>0</v>
      </c>
      <c r="P135">
        <v>1</v>
      </c>
      <c r="Q135" t="s">
        <v>3</v>
      </c>
    </row>
    <row r="136" spans="1:21">
      <c r="A136" t="s">
        <v>970</v>
      </c>
      <c r="B136" t="s">
        <v>965</v>
      </c>
      <c r="C136">
        <v>0.2</v>
      </c>
      <c r="D136" t="s">
        <v>762</v>
      </c>
      <c r="E136" t="s">
        <v>973</v>
      </c>
      <c r="F136" t="s">
        <v>976</v>
      </c>
      <c r="G136" t="s">
        <v>962</v>
      </c>
      <c r="H136">
        <v>0.2</v>
      </c>
      <c r="K136">
        <v>107277046</v>
      </c>
      <c r="L136" s="2">
        <v>45002</v>
      </c>
      <c r="M136">
        <v>1</v>
      </c>
      <c r="N136">
        <v>1</v>
      </c>
      <c r="O136">
        <v>0</v>
      </c>
      <c r="P136">
        <v>1</v>
      </c>
      <c r="Q136" t="s">
        <v>7</v>
      </c>
      <c r="U136" s="603"/>
    </row>
    <row r="137" spans="1:21">
      <c r="A137" t="s">
        <v>970</v>
      </c>
      <c r="B137" t="s">
        <v>965</v>
      </c>
      <c r="C137">
        <v>0.22</v>
      </c>
      <c r="D137" t="s">
        <v>756</v>
      </c>
      <c r="E137" t="s">
        <v>973</v>
      </c>
      <c r="F137" t="s">
        <v>976</v>
      </c>
      <c r="G137" t="s">
        <v>962</v>
      </c>
      <c r="H137">
        <v>0.22</v>
      </c>
      <c r="K137">
        <v>107430799</v>
      </c>
      <c r="L137" s="2">
        <v>45158</v>
      </c>
      <c r="M137">
        <v>21</v>
      </c>
      <c r="N137">
        <v>1</v>
      </c>
      <c r="O137">
        <v>0</v>
      </c>
      <c r="P137">
        <v>1</v>
      </c>
      <c r="Q137" t="s">
        <v>7</v>
      </c>
    </row>
    <row r="138" spans="1:21">
      <c r="A138" t="s">
        <v>970</v>
      </c>
      <c r="B138" t="s">
        <v>965</v>
      </c>
      <c r="C138">
        <v>0.23</v>
      </c>
      <c r="D138" t="s">
        <v>756</v>
      </c>
      <c r="E138" t="s">
        <v>973</v>
      </c>
      <c r="F138" t="s">
        <v>976</v>
      </c>
      <c r="G138" t="s">
        <v>962</v>
      </c>
      <c r="H138">
        <v>0.23</v>
      </c>
      <c r="K138">
        <v>106634974</v>
      </c>
      <c r="L138" s="2">
        <v>44397</v>
      </c>
      <c r="M138">
        <v>21</v>
      </c>
      <c r="N138">
        <v>1</v>
      </c>
      <c r="O138">
        <v>25</v>
      </c>
      <c r="P138">
        <v>1</v>
      </c>
      <c r="Q138" t="s">
        <v>8</v>
      </c>
    </row>
    <row r="139" spans="1:21">
      <c r="A139" t="s">
        <v>970</v>
      </c>
      <c r="B139" t="s">
        <v>965</v>
      </c>
      <c r="C139">
        <v>0.25</v>
      </c>
      <c r="D139" t="s">
        <v>756</v>
      </c>
      <c r="E139" t="s">
        <v>973</v>
      </c>
      <c r="F139" t="s">
        <v>976</v>
      </c>
      <c r="G139" t="s">
        <v>962</v>
      </c>
      <c r="H139">
        <v>0.25</v>
      </c>
      <c r="K139">
        <v>106628710</v>
      </c>
      <c r="L139" s="2">
        <v>44390</v>
      </c>
      <c r="M139">
        <v>21</v>
      </c>
      <c r="N139">
        <v>1</v>
      </c>
      <c r="O139">
        <v>0</v>
      </c>
      <c r="P139">
        <v>1</v>
      </c>
      <c r="Q139" t="s">
        <v>7</v>
      </c>
    </row>
    <row r="140" spans="1:21">
      <c r="A140" t="s">
        <v>970</v>
      </c>
      <c r="B140" t="s">
        <v>965</v>
      </c>
      <c r="C140">
        <v>0.32</v>
      </c>
      <c r="D140" t="s">
        <v>758</v>
      </c>
      <c r="E140" t="s">
        <v>976</v>
      </c>
      <c r="F140" t="s">
        <v>973</v>
      </c>
      <c r="G140" t="s">
        <v>962</v>
      </c>
      <c r="H140">
        <v>0.27100000000000002</v>
      </c>
      <c r="K140">
        <v>107344317</v>
      </c>
      <c r="L140" s="2">
        <v>45068</v>
      </c>
      <c r="M140">
        <v>21</v>
      </c>
      <c r="N140">
        <v>1</v>
      </c>
      <c r="O140">
        <v>0</v>
      </c>
      <c r="P140">
        <v>1</v>
      </c>
      <c r="Q140" t="s">
        <v>3</v>
      </c>
    </row>
    <row r="141" spans="1:21">
      <c r="A141" t="s">
        <v>970</v>
      </c>
      <c r="B141" t="s">
        <v>965</v>
      </c>
      <c r="C141">
        <v>0.32</v>
      </c>
      <c r="D141" t="s">
        <v>758</v>
      </c>
      <c r="E141" t="s">
        <v>976</v>
      </c>
      <c r="F141" t="s">
        <v>973</v>
      </c>
      <c r="G141" t="s">
        <v>962</v>
      </c>
      <c r="H141">
        <v>0.27100000000000002</v>
      </c>
      <c r="K141">
        <v>108313253</v>
      </c>
      <c r="L141" s="2">
        <v>45980</v>
      </c>
      <c r="M141">
        <v>21</v>
      </c>
      <c r="N141">
        <v>1</v>
      </c>
      <c r="O141">
        <v>0</v>
      </c>
      <c r="P141">
        <v>1</v>
      </c>
      <c r="Q141" t="s">
        <v>3</v>
      </c>
      <c r="U141" s="603"/>
    </row>
    <row r="142" spans="1:21">
      <c r="A142" t="s">
        <v>970</v>
      </c>
      <c r="B142" t="s">
        <v>965</v>
      </c>
      <c r="C142">
        <v>0.28000000000000003</v>
      </c>
      <c r="D142" t="s">
        <v>765</v>
      </c>
      <c r="E142" t="s">
        <v>976</v>
      </c>
      <c r="F142" t="s">
        <v>973</v>
      </c>
      <c r="G142" t="s">
        <v>962</v>
      </c>
      <c r="H142">
        <v>0.311</v>
      </c>
      <c r="K142">
        <v>108361181</v>
      </c>
      <c r="L142" s="2">
        <v>46025</v>
      </c>
      <c r="M142">
        <v>1</v>
      </c>
      <c r="N142">
        <v>1</v>
      </c>
      <c r="O142">
        <v>0</v>
      </c>
      <c r="P142">
        <v>5</v>
      </c>
    </row>
    <row r="143" spans="1:21">
      <c r="A143" t="s">
        <v>970</v>
      </c>
      <c r="B143" t="s">
        <v>965</v>
      </c>
      <c r="C143">
        <v>0.25</v>
      </c>
      <c r="D143" t="s">
        <v>758</v>
      </c>
      <c r="E143" t="s">
        <v>976</v>
      </c>
      <c r="F143" t="s">
        <v>973</v>
      </c>
      <c r="G143" t="s">
        <v>962</v>
      </c>
      <c r="H143">
        <v>0.34100000000000003</v>
      </c>
      <c r="K143">
        <v>106401761</v>
      </c>
      <c r="L143" s="2">
        <v>44146</v>
      </c>
      <c r="M143">
        <v>21</v>
      </c>
      <c r="N143">
        <v>2</v>
      </c>
      <c r="O143">
        <v>0</v>
      </c>
      <c r="P143">
        <v>1</v>
      </c>
      <c r="Q143" t="s">
        <v>7</v>
      </c>
    </row>
    <row r="144" spans="1:21">
      <c r="A144" t="s">
        <v>970</v>
      </c>
      <c r="B144" t="s">
        <v>965</v>
      </c>
      <c r="C144">
        <v>0.189</v>
      </c>
      <c r="D144" t="s">
        <v>758</v>
      </c>
      <c r="E144" t="s">
        <v>976</v>
      </c>
      <c r="F144" t="s">
        <v>973</v>
      </c>
      <c r="G144" t="s">
        <v>962</v>
      </c>
      <c r="H144">
        <v>0.40200000000000002</v>
      </c>
      <c r="K144">
        <v>108471501</v>
      </c>
      <c r="L144" s="2">
        <v>46132</v>
      </c>
      <c r="M144">
        <v>21</v>
      </c>
      <c r="N144">
        <v>1</v>
      </c>
      <c r="O144">
        <v>0</v>
      </c>
      <c r="P144">
        <v>1</v>
      </c>
      <c r="Q144" t="s">
        <v>3</v>
      </c>
    </row>
    <row r="145" spans="1:22">
      <c r="A145" t="s">
        <v>970</v>
      </c>
      <c r="B145" t="s">
        <v>965</v>
      </c>
      <c r="C145">
        <v>0.1</v>
      </c>
      <c r="D145" t="s">
        <v>758</v>
      </c>
      <c r="E145" t="s">
        <v>976</v>
      </c>
      <c r="F145" t="s">
        <v>973</v>
      </c>
      <c r="G145" t="s">
        <v>962</v>
      </c>
      <c r="H145">
        <v>0.49099999999999999</v>
      </c>
      <c r="K145">
        <v>105668819</v>
      </c>
      <c r="L145" s="2">
        <v>43416</v>
      </c>
      <c r="M145">
        <v>1</v>
      </c>
      <c r="N145">
        <v>1</v>
      </c>
      <c r="O145">
        <v>0</v>
      </c>
      <c r="P145">
        <v>4</v>
      </c>
    </row>
    <row r="146" spans="1:22">
      <c r="A146" t="s">
        <v>970</v>
      </c>
      <c r="B146" t="s">
        <v>965</v>
      </c>
      <c r="C146">
        <v>5.8000000000000003E-2</v>
      </c>
      <c r="D146" t="s">
        <v>765</v>
      </c>
      <c r="E146" t="s">
        <v>976</v>
      </c>
      <c r="F146" t="s">
        <v>973</v>
      </c>
      <c r="G146" t="s">
        <v>962</v>
      </c>
      <c r="H146">
        <v>0.53300000000000003</v>
      </c>
      <c r="K146">
        <v>106580347</v>
      </c>
      <c r="L146" s="2">
        <v>44335</v>
      </c>
      <c r="M146">
        <v>29</v>
      </c>
      <c r="N146">
        <v>1</v>
      </c>
      <c r="O146">
        <v>0</v>
      </c>
      <c r="P146">
        <v>1</v>
      </c>
      <c r="Q146" t="s">
        <v>8</v>
      </c>
    </row>
    <row r="147" spans="1:22">
      <c r="A147" t="s">
        <v>970</v>
      </c>
      <c r="B147" t="s">
        <v>965</v>
      </c>
      <c r="C147">
        <v>8.5000000000000006E-2</v>
      </c>
      <c r="D147" t="s">
        <v>758</v>
      </c>
      <c r="E147" t="s">
        <v>995</v>
      </c>
      <c r="F147" t="s">
        <v>976</v>
      </c>
      <c r="G147" t="s">
        <v>962</v>
      </c>
      <c r="H147">
        <v>0.58599999999999997</v>
      </c>
      <c r="I147" t="s">
        <v>61</v>
      </c>
      <c r="K147">
        <v>106806195</v>
      </c>
      <c r="L147" s="2">
        <v>44546</v>
      </c>
      <c r="M147">
        <v>21</v>
      </c>
      <c r="N147">
        <v>1</v>
      </c>
      <c r="O147">
        <v>0</v>
      </c>
      <c r="P147">
        <v>1</v>
      </c>
      <c r="Q147" t="s">
        <v>8</v>
      </c>
    </row>
    <row r="148" spans="1:22">
      <c r="A148" t="s">
        <v>970</v>
      </c>
      <c r="B148" t="s">
        <v>965</v>
      </c>
      <c r="C148">
        <v>2E-3</v>
      </c>
      <c r="D148" t="s">
        <v>758</v>
      </c>
      <c r="E148" t="s">
        <v>976</v>
      </c>
      <c r="F148" t="s">
        <v>973</v>
      </c>
      <c r="G148" t="s">
        <v>962</v>
      </c>
      <c r="H148">
        <v>0.58899999999999997</v>
      </c>
      <c r="K148">
        <v>108389051</v>
      </c>
      <c r="L148" s="2">
        <v>46051</v>
      </c>
      <c r="M148">
        <v>21</v>
      </c>
      <c r="N148">
        <v>1</v>
      </c>
      <c r="O148">
        <v>7</v>
      </c>
      <c r="P148">
        <v>1</v>
      </c>
      <c r="Q148" t="s">
        <v>7</v>
      </c>
    </row>
    <row r="149" spans="1:22">
      <c r="A149" t="s">
        <v>970</v>
      </c>
      <c r="B149" t="s">
        <v>965</v>
      </c>
      <c r="C149">
        <v>0</v>
      </c>
      <c r="E149" t="s">
        <v>976</v>
      </c>
      <c r="F149" t="s">
        <v>973</v>
      </c>
      <c r="G149" t="s">
        <v>962</v>
      </c>
      <c r="H149">
        <v>0.59099999999999997</v>
      </c>
      <c r="K149">
        <v>105013789</v>
      </c>
      <c r="L149" s="2">
        <v>42785</v>
      </c>
      <c r="M149">
        <v>29</v>
      </c>
      <c r="N149">
        <v>1</v>
      </c>
      <c r="O149">
        <v>8</v>
      </c>
      <c r="P149">
        <v>5</v>
      </c>
      <c r="Q149" t="s">
        <v>7</v>
      </c>
    </row>
    <row r="150" spans="1:22">
      <c r="A150" t="s">
        <v>970</v>
      </c>
      <c r="B150" t="s">
        <v>965</v>
      </c>
      <c r="C150">
        <v>7.3999999999999996E-2</v>
      </c>
      <c r="D150" t="s">
        <v>758</v>
      </c>
      <c r="E150" t="s">
        <v>995</v>
      </c>
      <c r="F150" t="s">
        <v>976</v>
      </c>
      <c r="G150" t="s">
        <v>962</v>
      </c>
      <c r="H150">
        <v>0.59699999999999998</v>
      </c>
      <c r="I150" t="s">
        <v>61</v>
      </c>
      <c r="K150">
        <v>106725275</v>
      </c>
      <c r="L150" s="2">
        <v>44481</v>
      </c>
      <c r="M150">
        <v>21</v>
      </c>
      <c r="N150">
        <v>1</v>
      </c>
      <c r="O150">
        <v>0</v>
      </c>
      <c r="P150">
        <v>1</v>
      </c>
      <c r="Q150" t="s">
        <v>3</v>
      </c>
      <c r="U150" s="603"/>
    </row>
    <row r="151" spans="1:22">
      <c r="A151" t="s">
        <v>970</v>
      </c>
      <c r="B151" t="s">
        <v>965</v>
      </c>
      <c r="C151">
        <v>3.7999999999999999E-2</v>
      </c>
      <c r="D151" t="s">
        <v>756</v>
      </c>
      <c r="E151" t="s">
        <v>976</v>
      </c>
      <c r="F151" t="s">
        <v>973</v>
      </c>
      <c r="G151" t="s">
        <v>962</v>
      </c>
      <c r="H151">
        <v>0.629</v>
      </c>
      <c r="K151">
        <v>105075866</v>
      </c>
      <c r="L151" s="2">
        <v>42830</v>
      </c>
      <c r="M151">
        <v>21</v>
      </c>
      <c r="N151">
        <v>2</v>
      </c>
      <c r="O151">
        <v>0</v>
      </c>
      <c r="P151">
        <v>1</v>
      </c>
      <c r="Q151" t="s">
        <v>7</v>
      </c>
    </row>
    <row r="152" spans="1:22">
      <c r="A152" t="s">
        <v>970</v>
      </c>
      <c r="B152" t="s">
        <v>965</v>
      </c>
      <c r="C152">
        <v>0.2</v>
      </c>
      <c r="D152" t="s">
        <v>756</v>
      </c>
      <c r="E152" t="s">
        <v>976</v>
      </c>
      <c r="F152" t="s">
        <v>983</v>
      </c>
      <c r="G152" t="s">
        <v>962</v>
      </c>
      <c r="H152">
        <v>0.79100000000000004</v>
      </c>
      <c r="K152">
        <v>105035818</v>
      </c>
      <c r="L152" s="2">
        <v>42806</v>
      </c>
      <c r="M152">
        <v>1</v>
      </c>
      <c r="N152">
        <v>2</v>
      </c>
      <c r="O152">
        <v>0</v>
      </c>
      <c r="P152">
        <v>1</v>
      </c>
      <c r="Q152" t="s">
        <v>7</v>
      </c>
    </row>
    <row r="153" spans="1:22">
      <c r="A153" t="s">
        <v>970</v>
      </c>
      <c r="B153" t="s">
        <v>962</v>
      </c>
      <c r="C153">
        <v>0.1</v>
      </c>
      <c r="D153" t="s">
        <v>758</v>
      </c>
      <c r="E153" t="s">
        <v>983</v>
      </c>
      <c r="F153" t="s">
        <v>976</v>
      </c>
      <c r="G153" t="s">
        <v>962</v>
      </c>
      <c r="H153">
        <v>0.79500000000000004</v>
      </c>
      <c r="K153">
        <v>106766819</v>
      </c>
      <c r="L153" s="2">
        <v>44510</v>
      </c>
      <c r="M153">
        <v>17</v>
      </c>
      <c r="N153">
        <v>1</v>
      </c>
      <c r="O153">
        <v>0</v>
      </c>
      <c r="P153">
        <v>5</v>
      </c>
      <c r="Q153" t="s">
        <v>7</v>
      </c>
    </row>
    <row r="154" spans="1:22">
      <c r="A154" t="s">
        <v>970</v>
      </c>
      <c r="B154" t="s">
        <v>965</v>
      </c>
      <c r="C154">
        <v>3.7999999999999999E-2</v>
      </c>
      <c r="D154" t="s">
        <v>758</v>
      </c>
      <c r="E154" t="s">
        <v>983</v>
      </c>
      <c r="F154" t="s">
        <v>976</v>
      </c>
      <c r="G154" t="s">
        <v>962</v>
      </c>
      <c r="H154">
        <v>0.85699999999999998</v>
      </c>
      <c r="K154">
        <v>105764042</v>
      </c>
      <c r="L154" s="2">
        <v>43495</v>
      </c>
      <c r="M154">
        <v>21</v>
      </c>
      <c r="N154">
        <v>1</v>
      </c>
      <c r="O154">
        <v>0</v>
      </c>
      <c r="P154">
        <v>1</v>
      </c>
      <c r="Q154" t="s">
        <v>7</v>
      </c>
    </row>
    <row r="155" spans="1:22">
      <c r="A155" t="s">
        <v>970</v>
      </c>
      <c r="B155" t="s">
        <v>965</v>
      </c>
      <c r="C155">
        <v>8.9999999999999993E-3</v>
      </c>
      <c r="D155" t="s">
        <v>758</v>
      </c>
      <c r="E155" t="s">
        <v>983</v>
      </c>
      <c r="F155" t="s">
        <v>971</v>
      </c>
      <c r="G155" t="s">
        <v>962</v>
      </c>
      <c r="H155">
        <v>0.88600000000000001</v>
      </c>
      <c r="K155">
        <v>106835489</v>
      </c>
      <c r="L155" s="2">
        <v>44579</v>
      </c>
      <c r="M155">
        <v>21</v>
      </c>
      <c r="N155">
        <v>1</v>
      </c>
      <c r="O155">
        <v>8</v>
      </c>
      <c r="P155">
        <v>1</v>
      </c>
      <c r="Q155" t="s">
        <v>7</v>
      </c>
    </row>
    <row r="156" spans="1:22">
      <c r="A156" t="s">
        <v>970</v>
      </c>
      <c r="B156" t="s">
        <v>962</v>
      </c>
      <c r="C156">
        <v>3.2000000000000001E-2</v>
      </c>
      <c r="D156" t="s">
        <v>756</v>
      </c>
      <c r="E156" t="s">
        <v>983</v>
      </c>
      <c r="F156" t="s">
        <v>971</v>
      </c>
      <c r="G156" t="s">
        <v>962</v>
      </c>
      <c r="H156">
        <v>0.92700000000000005</v>
      </c>
      <c r="K156">
        <v>108499171</v>
      </c>
      <c r="L156" s="2">
        <v>46154</v>
      </c>
      <c r="M156">
        <v>21</v>
      </c>
      <c r="N156">
        <v>1</v>
      </c>
      <c r="O156">
        <v>0</v>
      </c>
      <c r="P156">
        <v>1</v>
      </c>
      <c r="Q156" t="s">
        <v>7</v>
      </c>
      <c r="R156">
        <v>35.181139999999999</v>
      </c>
      <c r="S156">
        <v>-79.453040000000001</v>
      </c>
      <c r="T156" t="s">
        <v>755</v>
      </c>
      <c r="U156" t="s">
        <v>367</v>
      </c>
      <c r="V156">
        <v>1.4311</v>
      </c>
    </row>
    <row r="157" spans="1:22">
      <c r="A157" t="s">
        <v>970</v>
      </c>
      <c r="B157" t="s">
        <v>965</v>
      </c>
      <c r="C157">
        <v>3.7999999999999999E-2</v>
      </c>
      <c r="D157" t="s">
        <v>756</v>
      </c>
      <c r="E157" t="s">
        <v>983</v>
      </c>
      <c r="F157" t="s">
        <v>971</v>
      </c>
      <c r="G157" t="s">
        <v>962</v>
      </c>
      <c r="H157">
        <v>0.93300000000000005</v>
      </c>
      <c r="K157">
        <v>107090127</v>
      </c>
      <c r="L157" s="2">
        <v>44805</v>
      </c>
      <c r="M157">
        <v>2</v>
      </c>
      <c r="N157">
        <v>1</v>
      </c>
      <c r="O157">
        <v>0</v>
      </c>
      <c r="P157">
        <v>1</v>
      </c>
      <c r="Q157" t="s">
        <v>8</v>
      </c>
      <c r="U157" s="603"/>
    </row>
    <row r="158" spans="1:22">
      <c r="A158" t="s">
        <v>970</v>
      </c>
      <c r="B158" t="s">
        <v>965</v>
      </c>
      <c r="C158">
        <v>9.6000000000000002E-2</v>
      </c>
      <c r="D158" t="s">
        <v>758</v>
      </c>
      <c r="E158" t="s">
        <v>971</v>
      </c>
      <c r="F158" t="s">
        <v>972</v>
      </c>
      <c r="G158" t="s">
        <v>962</v>
      </c>
      <c r="H158">
        <v>0.94499999999999995</v>
      </c>
      <c r="K158">
        <v>107446399</v>
      </c>
      <c r="L158" s="2">
        <v>45171</v>
      </c>
      <c r="M158">
        <v>17</v>
      </c>
      <c r="N158">
        <v>1</v>
      </c>
      <c r="O158">
        <v>0</v>
      </c>
      <c r="P158">
        <v>1</v>
      </c>
      <c r="Q158" t="s">
        <v>7</v>
      </c>
    </row>
    <row r="159" spans="1:22">
      <c r="A159" t="s">
        <v>970</v>
      </c>
      <c r="B159" t="s">
        <v>965</v>
      </c>
      <c r="C159">
        <v>5.8999999999999997E-2</v>
      </c>
      <c r="D159" t="s">
        <v>756</v>
      </c>
      <c r="E159" t="s">
        <v>983</v>
      </c>
      <c r="F159" t="s">
        <v>971</v>
      </c>
      <c r="G159" t="s">
        <v>962</v>
      </c>
      <c r="H159">
        <v>0.95399999999999996</v>
      </c>
      <c r="K159">
        <v>107397257</v>
      </c>
      <c r="L159" s="2">
        <v>45120</v>
      </c>
      <c r="M159">
        <v>21</v>
      </c>
      <c r="N159">
        <v>1</v>
      </c>
      <c r="O159">
        <v>0</v>
      </c>
      <c r="P159">
        <v>1</v>
      </c>
      <c r="Q159" t="s">
        <v>7</v>
      </c>
      <c r="U159" s="603"/>
    </row>
    <row r="160" spans="1:22">
      <c r="A160" t="s">
        <v>970</v>
      </c>
      <c r="B160" t="s">
        <v>965</v>
      </c>
      <c r="C160">
        <v>2.7E-2</v>
      </c>
      <c r="D160" t="s">
        <v>758</v>
      </c>
      <c r="E160" t="s">
        <v>971</v>
      </c>
      <c r="F160" t="s">
        <v>983</v>
      </c>
      <c r="G160" t="s">
        <v>962</v>
      </c>
      <c r="H160">
        <v>1.014</v>
      </c>
      <c r="K160">
        <v>105620847</v>
      </c>
      <c r="L160" s="2">
        <v>43375</v>
      </c>
      <c r="M160">
        <v>21</v>
      </c>
      <c r="N160">
        <v>1</v>
      </c>
      <c r="O160">
        <v>0</v>
      </c>
      <c r="P160">
        <v>1</v>
      </c>
      <c r="Q160" t="s">
        <v>7</v>
      </c>
    </row>
    <row r="161" spans="1:22">
      <c r="A161" t="s">
        <v>970</v>
      </c>
      <c r="B161" t="s">
        <v>971</v>
      </c>
      <c r="C161">
        <v>0</v>
      </c>
      <c r="E161" t="s">
        <v>965</v>
      </c>
      <c r="F161" t="s">
        <v>994</v>
      </c>
      <c r="G161" t="s">
        <v>962</v>
      </c>
      <c r="H161">
        <v>1.0409999999999999</v>
      </c>
      <c r="K161">
        <v>107614732</v>
      </c>
      <c r="L161" s="2">
        <v>45324</v>
      </c>
      <c r="M161">
        <v>24</v>
      </c>
      <c r="N161">
        <v>1</v>
      </c>
      <c r="O161">
        <v>7</v>
      </c>
      <c r="P161">
        <v>4</v>
      </c>
      <c r="Q161" t="s">
        <v>7</v>
      </c>
      <c r="U161" s="603"/>
    </row>
    <row r="162" spans="1:22">
      <c r="A162" t="s">
        <v>970</v>
      </c>
      <c r="B162" t="s">
        <v>965</v>
      </c>
      <c r="C162">
        <v>0</v>
      </c>
      <c r="E162" t="s">
        <v>971</v>
      </c>
      <c r="F162" t="s">
        <v>998</v>
      </c>
      <c r="G162" t="s">
        <v>962</v>
      </c>
      <c r="H162">
        <v>1.0409999999999999</v>
      </c>
      <c r="K162">
        <v>108596194</v>
      </c>
      <c r="L162" s="2">
        <v>46254</v>
      </c>
      <c r="M162">
        <v>19</v>
      </c>
      <c r="N162">
        <v>1</v>
      </c>
      <c r="O162">
        <v>7</v>
      </c>
      <c r="P162">
        <v>1</v>
      </c>
    </row>
    <row r="163" spans="1:22">
      <c r="A163" t="s">
        <v>970</v>
      </c>
      <c r="B163" t="s">
        <v>965</v>
      </c>
      <c r="C163">
        <v>0</v>
      </c>
      <c r="E163" t="s">
        <v>971</v>
      </c>
      <c r="F163" t="s">
        <v>991</v>
      </c>
      <c r="G163" t="s">
        <v>962</v>
      </c>
      <c r="H163">
        <v>1.0409999999999999</v>
      </c>
      <c r="K163">
        <v>108575031</v>
      </c>
      <c r="L163" s="2">
        <v>46233</v>
      </c>
      <c r="M163">
        <v>23</v>
      </c>
      <c r="N163">
        <v>1</v>
      </c>
      <c r="O163">
        <v>7</v>
      </c>
      <c r="P163">
        <v>1</v>
      </c>
      <c r="Q163" t="s">
        <v>3</v>
      </c>
      <c r="R163">
        <v>35.180579999999999</v>
      </c>
      <c r="S163">
        <v>-79.451080000000005</v>
      </c>
      <c r="T163" t="s">
        <v>755</v>
      </c>
      <c r="U163" t="s">
        <v>367</v>
      </c>
      <c r="V163">
        <v>1.3162</v>
      </c>
    </row>
    <row r="164" spans="1:22">
      <c r="A164" t="s">
        <v>970</v>
      </c>
      <c r="B164" t="s">
        <v>965</v>
      </c>
      <c r="C164">
        <v>0</v>
      </c>
      <c r="E164" t="s">
        <v>971</v>
      </c>
      <c r="F164" t="s">
        <v>972</v>
      </c>
      <c r="G164" t="s">
        <v>962</v>
      </c>
      <c r="H164">
        <v>1.0409999999999999</v>
      </c>
      <c r="K164">
        <v>106939216</v>
      </c>
      <c r="L164" s="2">
        <v>44680</v>
      </c>
      <c r="M164">
        <v>30</v>
      </c>
      <c r="N164">
        <v>1</v>
      </c>
      <c r="O164">
        <v>7</v>
      </c>
      <c r="P164">
        <v>1</v>
      </c>
      <c r="Q164" t="s">
        <v>7</v>
      </c>
      <c r="U164" s="603"/>
    </row>
    <row r="165" spans="1:22">
      <c r="A165" t="s">
        <v>970</v>
      </c>
      <c r="B165" t="s">
        <v>965</v>
      </c>
      <c r="C165">
        <v>0</v>
      </c>
      <c r="E165" t="s">
        <v>971</v>
      </c>
      <c r="F165" t="s">
        <v>995</v>
      </c>
      <c r="G165" t="s">
        <v>962</v>
      </c>
      <c r="H165">
        <v>1.0409999999999999</v>
      </c>
      <c r="K165">
        <v>106995108</v>
      </c>
      <c r="L165" s="2">
        <v>44733</v>
      </c>
      <c r="M165">
        <v>21</v>
      </c>
      <c r="N165">
        <v>1</v>
      </c>
      <c r="O165">
        <v>7</v>
      </c>
      <c r="P165">
        <v>1</v>
      </c>
      <c r="Q165" t="s">
        <v>3</v>
      </c>
    </row>
    <row r="166" spans="1:22">
      <c r="A166" t="s">
        <v>970</v>
      </c>
      <c r="B166" t="s">
        <v>965</v>
      </c>
      <c r="C166">
        <v>0</v>
      </c>
      <c r="E166" t="s">
        <v>971</v>
      </c>
      <c r="G166" t="s">
        <v>962</v>
      </c>
      <c r="H166">
        <v>1.0409999999999999</v>
      </c>
      <c r="K166">
        <v>106374934</v>
      </c>
      <c r="L166" s="2">
        <v>44110</v>
      </c>
      <c r="M166">
        <v>21</v>
      </c>
      <c r="N166">
        <v>1</v>
      </c>
      <c r="O166">
        <v>7</v>
      </c>
      <c r="P166">
        <v>1</v>
      </c>
      <c r="Q166" t="s">
        <v>7</v>
      </c>
      <c r="U166" s="603"/>
    </row>
    <row r="167" spans="1:22">
      <c r="A167" t="s">
        <v>970</v>
      </c>
      <c r="B167" t="s">
        <v>965</v>
      </c>
      <c r="C167">
        <v>0</v>
      </c>
      <c r="E167" t="s">
        <v>971</v>
      </c>
      <c r="G167" t="s">
        <v>962</v>
      </c>
      <c r="H167">
        <v>1.0409999999999999</v>
      </c>
      <c r="K167">
        <v>107817331</v>
      </c>
      <c r="L167" s="2">
        <v>45516</v>
      </c>
      <c r="M167">
        <v>23</v>
      </c>
      <c r="N167">
        <v>1</v>
      </c>
      <c r="P167">
        <v>1</v>
      </c>
      <c r="Q167" t="s">
        <v>3</v>
      </c>
    </row>
    <row r="168" spans="1:22">
      <c r="A168" t="s">
        <v>970</v>
      </c>
      <c r="B168" t="s">
        <v>965</v>
      </c>
      <c r="C168">
        <v>0</v>
      </c>
      <c r="E168" t="s">
        <v>971</v>
      </c>
      <c r="G168" t="s">
        <v>962</v>
      </c>
      <c r="H168">
        <v>1.0409999999999999</v>
      </c>
      <c r="K168">
        <v>106043703</v>
      </c>
      <c r="L168" s="2">
        <v>43768</v>
      </c>
      <c r="M168">
        <v>30</v>
      </c>
      <c r="N168">
        <v>1</v>
      </c>
      <c r="O168">
        <v>7</v>
      </c>
      <c r="P168">
        <v>4</v>
      </c>
      <c r="Q168" t="s">
        <v>7</v>
      </c>
      <c r="U168" s="603"/>
    </row>
    <row r="169" spans="1:22">
      <c r="A169" t="s">
        <v>970</v>
      </c>
      <c r="B169" t="s">
        <v>965</v>
      </c>
      <c r="C169">
        <v>0</v>
      </c>
      <c r="E169" t="s">
        <v>971</v>
      </c>
      <c r="G169" t="s">
        <v>962</v>
      </c>
      <c r="H169">
        <v>1.0409999999999999</v>
      </c>
      <c r="K169">
        <v>107331335</v>
      </c>
      <c r="L169" s="2">
        <v>45057</v>
      </c>
      <c r="M169">
        <v>30</v>
      </c>
      <c r="N169">
        <v>1</v>
      </c>
      <c r="O169">
        <v>7</v>
      </c>
      <c r="P169">
        <v>1</v>
      </c>
      <c r="Q169" t="s">
        <v>8</v>
      </c>
    </row>
    <row r="170" spans="1:22">
      <c r="A170" t="s">
        <v>970</v>
      </c>
      <c r="B170" t="s">
        <v>965</v>
      </c>
      <c r="C170">
        <v>0</v>
      </c>
      <c r="E170" t="s">
        <v>971</v>
      </c>
      <c r="G170" t="s">
        <v>962</v>
      </c>
      <c r="H170">
        <v>1.0409999999999999</v>
      </c>
      <c r="K170">
        <v>108098341</v>
      </c>
      <c r="L170" s="2">
        <v>45780</v>
      </c>
      <c r="M170">
        <v>30</v>
      </c>
      <c r="N170">
        <v>1</v>
      </c>
      <c r="O170">
        <v>7</v>
      </c>
      <c r="P170">
        <v>1</v>
      </c>
      <c r="Q170" t="s">
        <v>3</v>
      </c>
    </row>
    <row r="171" spans="1:22">
      <c r="A171" t="s">
        <v>970</v>
      </c>
      <c r="B171" t="s">
        <v>962</v>
      </c>
      <c r="C171">
        <v>0</v>
      </c>
      <c r="E171" t="s">
        <v>971</v>
      </c>
      <c r="F171" t="s">
        <v>972</v>
      </c>
      <c r="G171" t="s">
        <v>962</v>
      </c>
      <c r="H171">
        <v>1.0409999999999999</v>
      </c>
      <c r="K171">
        <v>107922887</v>
      </c>
      <c r="L171" s="2">
        <v>45610</v>
      </c>
      <c r="M171">
        <v>30</v>
      </c>
      <c r="N171">
        <v>2</v>
      </c>
      <c r="O171">
        <v>7</v>
      </c>
      <c r="P171">
        <v>1</v>
      </c>
      <c r="Q171" t="s">
        <v>7</v>
      </c>
      <c r="U171" s="603"/>
    </row>
    <row r="172" spans="1:22">
      <c r="A172" t="s">
        <v>970</v>
      </c>
      <c r="B172" t="s">
        <v>965</v>
      </c>
      <c r="C172">
        <v>4.0000000000000001E-3</v>
      </c>
      <c r="D172" t="s">
        <v>756</v>
      </c>
      <c r="E172" t="s">
        <v>971</v>
      </c>
      <c r="F172" t="s">
        <v>972</v>
      </c>
      <c r="G172" t="s">
        <v>962</v>
      </c>
      <c r="H172">
        <v>1.0449999999999999</v>
      </c>
      <c r="K172">
        <v>107331337</v>
      </c>
      <c r="L172" s="2">
        <v>45057</v>
      </c>
      <c r="M172">
        <v>28</v>
      </c>
      <c r="N172">
        <v>1</v>
      </c>
      <c r="O172">
        <v>7</v>
      </c>
      <c r="P172">
        <v>1</v>
      </c>
      <c r="Q172" t="s">
        <v>7</v>
      </c>
    </row>
    <row r="173" spans="1:22">
      <c r="A173" t="s">
        <v>970</v>
      </c>
      <c r="B173" t="s">
        <v>965</v>
      </c>
      <c r="C173">
        <v>5.0000000000000001E-3</v>
      </c>
      <c r="D173" t="s">
        <v>756</v>
      </c>
      <c r="E173" t="s">
        <v>971</v>
      </c>
      <c r="F173" t="s">
        <v>972</v>
      </c>
      <c r="G173" t="s">
        <v>962</v>
      </c>
      <c r="H173">
        <v>1.046</v>
      </c>
      <c r="K173">
        <v>107814420</v>
      </c>
      <c r="L173" s="2">
        <v>45514</v>
      </c>
      <c r="M173">
        <v>21</v>
      </c>
      <c r="N173">
        <v>1</v>
      </c>
      <c r="O173">
        <v>7</v>
      </c>
      <c r="P173">
        <v>1</v>
      </c>
      <c r="Q173" t="s">
        <v>7</v>
      </c>
    </row>
    <row r="174" spans="1:22">
      <c r="A174" t="s">
        <v>970</v>
      </c>
      <c r="B174" t="s">
        <v>965</v>
      </c>
      <c r="C174">
        <v>1.0999999999999999E-2</v>
      </c>
      <c r="D174" t="s">
        <v>756</v>
      </c>
      <c r="E174" t="s">
        <v>971</v>
      </c>
      <c r="F174" t="s">
        <v>972</v>
      </c>
      <c r="G174" t="s">
        <v>962</v>
      </c>
      <c r="H174">
        <v>1.052</v>
      </c>
      <c r="K174">
        <v>106811569</v>
      </c>
      <c r="L174" s="2">
        <v>44550</v>
      </c>
      <c r="M174">
        <v>21</v>
      </c>
      <c r="N174">
        <v>1</v>
      </c>
      <c r="O174">
        <v>0</v>
      </c>
      <c r="P174">
        <v>1</v>
      </c>
      <c r="Q174" t="s">
        <v>7</v>
      </c>
    </row>
    <row r="175" spans="1:22">
      <c r="A175" t="s">
        <v>970</v>
      </c>
      <c r="B175" t="s">
        <v>965</v>
      </c>
      <c r="C175">
        <v>3.7999999999999999E-2</v>
      </c>
      <c r="D175" t="s">
        <v>756</v>
      </c>
      <c r="E175" t="s">
        <v>971</v>
      </c>
      <c r="F175" t="s">
        <v>968</v>
      </c>
      <c r="G175" t="s">
        <v>962</v>
      </c>
      <c r="H175">
        <v>1.079</v>
      </c>
      <c r="K175">
        <v>105599835</v>
      </c>
      <c r="L175" s="2">
        <v>43354</v>
      </c>
      <c r="M175">
        <v>1</v>
      </c>
      <c r="N175">
        <v>2</v>
      </c>
      <c r="O175">
        <v>0</v>
      </c>
      <c r="P175">
        <v>1</v>
      </c>
      <c r="U175" s="603"/>
    </row>
    <row r="176" spans="1:22">
      <c r="A176" t="s">
        <v>970</v>
      </c>
      <c r="B176" t="s">
        <v>965</v>
      </c>
      <c r="C176">
        <v>0.14000000000000001</v>
      </c>
      <c r="D176" t="s">
        <v>758</v>
      </c>
      <c r="E176" t="s">
        <v>972</v>
      </c>
      <c r="F176" t="s">
        <v>971</v>
      </c>
      <c r="G176" t="s">
        <v>962</v>
      </c>
      <c r="H176">
        <v>1.1910000000000001</v>
      </c>
      <c r="K176">
        <v>107899083</v>
      </c>
      <c r="L176" s="2">
        <v>45590</v>
      </c>
      <c r="M176">
        <v>1</v>
      </c>
      <c r="N176">
        <v>1</v>
      </c>
      <c r="O176">
        <v>0</v>
      </c>
      <c r="P176">
        <v>1</v>
      </c>
      <c r="Q176" t="s">
        <v>10</v>
      </c>
    </row>
    <row r="177" spans="1:17">
      <c r="A177" t="s">
        <v>970</v>
      </c>
      <c r="B177" t="s">
        <v>965</v>
      </c>
      <c r="C177">
        <v>0.13</v>
      </c>
      <c r="D177" t="s">
        <v>758</v>
      </c>
      <c r="E177" t="s">
        <v>972</v>
      </c>
      <c r="F177" t="s">
        <v>971</v>
      </c>
      <c r="G177" t="s">
        <v>962</v>
      </c>
      <c r="H177">
        <v>1.2010000000000001</v>
      </c>
      <c r="K177">
        <v>106398269</v>
      </c>
      <c r="L177" s="2">
        <v>44144</v>
      </c>
      <c r="M177">
        <v>19</v>
      </c>
      <c r="N177">
        <v>1</v>
      </c>
      <c r="O177">
        <v>0</v>
      </c>
      <c r="P177">
        <v>5</v>
      </c>
      <c r="Q177" t="s">
        <v>7</v>
      </c>
    </row>
    <row r="178" spans="1:17">
      <c r="A178" t="s">
        <v>970</v>
      </c>
      <c r="B178" t="s">
        <v>965</v>
      </c>
      <c r="C178">
        <v>0.189</v>
      </c>
      <c r="D178" t="s">
        <v>756</v>
      </c>
      <c r="E178" t="s">
        <v>971</v>
      </c>
      <c r="F178" t="s">
        <v>972</v>
      </c>
      <c r="G178" t="s">
        <v>962</v>
      </c>
      <c r="H178">
        <v>1.23</v>
      </c>
      <c r="J178" s="606"/>
      <c r="K178">
        <v>108323385</v>
      </c>
      <c r="L178" s="2">
        <v>45989</v>
      </c>
      <c r="M178">
        <v>21</v>
      </c>
      <c r="N178">
        <v>1</v>
      </c>
      <c r="O178">
        <v>0</v>
      </c>
      <c r="P178">
        <v>1</v>
      </c>
      <c r="Q178" t="s">
        <v>7</v>
      </c>
    </row>
    <row r="179" spans="1:17">
      <c r="A179" t="s">
        <v>970</v>
      </c>
      <c r="B179" t="s">
        <v>965</v>
      </c>
      <c r="C179">
        <v>0.19</v>
      </c>
      <c r="D179" t="s">
        <v>756</v>
      </c>
      <c r="E179" t="s">
        <v>971</v>
      </c>
      <c r="F179" t="s">
        <v>972</v>
      </c>
      <c r="G179" t="s">
        <v>962</v>
      </c>
      <c r="H179">
        <v>1.2310000000000001</v>
      </c>
      <c r="K179">
        <v>107213186</v>
      </c>
      <c r="L179" s="2">
        <v>44941</v>
      </c>
      <c r="M179">
        <v>21</v>
      </c>
      <c r="N179">
        <v>1</v>
      </c>
      <c r="O179">
        <v>0</v>
      </c>
      <c r="P179">
        <v>1</v>
      </c>
      <c r="Q179" t="s">
        <v>3</v>
      </c>
    </row>
    <row r="180" spans="1:17">
      <c r="A180" t="s">
        <v>970</v>
      </c>
      <c r="B180" t="s">
        <v>962</v>
      </c>
      <c r="C180">
        <v>9.5000000000000001E-2</v>
      </c>
      <c r="D180" t="s">
        <v>758</v>
      </c>
      <c r="E180" t="s">
        <v>972</v>
      </c>
      <c r="F180" t="s">
        <v>971</v>
      </c>
      <c r="G180" t="s">
        <v>962</v>
      </c>
      <c r="H180">
        <v>1.236</v>
      </c>
      <c r="K180">
        <v>108293465</v>
      </c>
      <c r="L180" s="2">
        <v>45965</v>
      </c>
      <c r="M180">
        <v>21</v>
      </c>
      <c r="N180">
        <v>1</v>
      </c>
      <c r="O180">
        <v>0</v>
      </c>
      <c r="P180">
        <v>1</v>
      </c>
      <c r="Q180" t="s">
        <v>7</v>
      </c>
    </row>
    <row r="181" spans="1:17">
      <c r="A181" t="s">
        <v>1021</v>
      </c>
      <c r="B181" t="s">
        <v>965</v>
      </c>
      <c r="C181">
        <v>0.95</v>
      </c>
      <c r="D181" t="s">
        <v>758</v>
      </c>
      <c r="E181" t="s">
        <v>968</v>
      </c>
      <c r="F181" t="s">
        <v>968</v>
      </c>
      <c r="G181" t="s">
        <v>962</v>
      </c>
      <c r="H181">
        <v>1.242</v>
      </c>
      <c r="K181">
        <v>107084782</v>
      </c>
      <c r="L181" s="2">
        <v>44824</v>
      </c>
      <c r="M181">
        <v>28</v>
      </c>
      <c r="N181">
        <v>1</v>
      </c>
      <c r="O181">
        <v>0</v>
      </c>
      <c r="P181">
        <v>1</v>
      </c>
      <c r="Q181" t="s">
        <v>7</v>
      </c>
    </row>
    <row r="182" spans="1:17">
      <c r="A182" t="s">
        <v>970</v>
      </c>
      <c r="B182" t="s">
        <v>965</v>
      </c>
      <c r="C182">
        <v>5.0999999999999997E-2</v>
      </c>
      <c r="D182" t="s">
        <v>758</v>
      </c>
      <c r="E182" t="s">
        <v>972</v>
      </c>
      <c r="F182" t="s">
        <v>971</v>
      </c>
      <c r="G182" t="s">
        <v>962</v>
      </c>
      <c r="H182">
        <v>1.28</v>
      </c>
      <c r="K182">
        <v>106233156</v>
      </c>
      <c r="L182" s="2">
        <v>43974</v>
      </c>
      <c r="M182">
        <v>1</v>
      </c>
      <c r="N182">
        <v>1</v>
      </c>
      <c r="O182">
        <v>0</v>
      </c>
      <c r="P182">
        <v>1</v>
      </c>
      <c r="Q182" t="s">
        <v>8</v>
      </c>
    </row>
    <row r="183" spans="1:17">
      <c r="A183" t="s">
        <v>970</v>
      </c>
      <c r="B183" t="s">
        <v>965</v>
      </c>
      <c r="C183">
        <v>1.4E-2</v>
      </c>
      <c r="D183" t="s">
        <v>758</v>
      </c>
      <c r="E183" t="s">
        <v>972</v>
      </c>
      <c r="F183" t="s">
        <v>971</v>
      </c>
      <c r="G183" t="s">
        <v>962</v>
      </c>
      <c r="H183">
        <v>1.3169999999999999</v>
      </c>
      <c r="K183">
        <v>106431618</v>
      </c>
      <c r="L183" s="2">
        <v>44174</v>
      </c>
      <c r="M183">
        <v>21</v>
      </c>
      <c r="N183">
        <v>1</v>
      </c>
      <c r="O183">
        <v>0</v>
      </c>
      <c r="P183">
        <v>1</v>
      </c>
      <c r="Q183" t="s">
        <v>7</v>
      </c>
    </row>
    <row r="184" spans="1:17">
      <c r="A184" t="s">
        <v>970</v>
      </c>
      <c r="B184" t="s">
        <v>965</v>
      </c>
      <c r="C184">
        <v>0.28000000000000003</v>
      </c>
      <c r="D184" t="s">
        <v>756</v>
      </c>
      <c r="E184" t="s">
        <v>971</v>
      </c>
      <c r="F184" t="s">
        <v>972</v>
      </c>
      <c r="G184" t="s">
        <v>962</v>
      </c>
      <c r="H184">
        <v>1.321</v>
      </c>
      <c r="K184">
        <v>105287302</v>
      </c>
      <c r="L184" s="2">
        <v>43052</v>
      </c>
      <c r="M184">
        <v>17</v>
      </c>
      <c r="N184">
        <v>1</v>
      </c>
      <c r="O184">
        <v>0</v>
      </c>
      <c r="P184">
        <v>5</v>
      </c>
      <c r="Q184" t="s">
        <v>7</v>
      </c>
    </row>
    <row r="185" spans="1:17">
      <c r="A185" t="s">
        <v>970</v>
      </c>
      <c r="B185" t="s">
        <v>965</v>
      </c>
      <c r="C185">
        <v>0.28000000000000003</v>
      </c>
      <c r="D185" t="s">
        <v>756</v>
      </c>
      <c r="E185" t="s">
        <v>971</v>
      </c>
      <c r="F185" t="s">
        <v>972</v>
      </c>
      <c r="G185" t="s">
        <v>962</v>
      </c>
      <c r="H185">
        <v>1.321</v>
      </c>
      <c r="K185">
        <v>106387765</v>
      </c>
      <c r="L185" s="2">
        <v>44134</v>
      </c>
      <c r="M185">
        <v>21</v>
      </c>
      <c r="N185">
        <v>1</v>
      </c>
      <c r="O185">
        <v>0</v>
      </c>
      <c r="P185">
        <v>1</v>
      </c>
      <c r="Q185" t="s">
        <v>7</v>
      </c>
    </row>
    <row r="186" spans="1:17">
      <c r="A186" t="s">
        <v>970</v>
      </c>
      <c r="B186" t="s">
        <v>965</v>
      </c>
      <c r="C186">
        <v>0</v>
      </c>
      <c r="E186" t="s">
        <v>972</v>
      </c>
      <c r="F186" t="s">
        <v>982</v>
      </c>
      <c r="G186" t="s">
        <v>962</v>
      </c>
      <c r="H186">
        <v>1.331</v>
      </c>
      <c r="K186">
        <v>105108562</v>
      </c>
      <c r="L186" s="2">
        <v>42878</v>
      </c>
      <c r="M186">
        <v>2</v>
      </c>
      <c r="N186">
        <v>2</v>
      </c>
      <c r="O186">
        <v>0</v>
      </c>
      <c r="P186">
        <v>5</v>
      </c>
      <c r="Q186" t="s">
        <v>7</v>
      </c>
    </row>
    <row r="187" spans="1:17">
      <c r="A187" t="s">
        <v>970</v>
      </c>
      <c r="B187" t="s">
        <v>965</v>
      </c>
      <c r="C187">
        <v>0</v>
      </c>
      <c r="E187" t="s">
        <v>972</v>
      </c>
      <c r="F187" t="s">
        <v>981</v>
      </c>
      <c r="G187" t="s">
        <v>962</v>
      </c>
      <c r="H187">
        <v>1.331</v>
      </c>
      <c r="K187">
        <v>104976268</v>
      </c>
      <c r="L187" s="2">
        <v>42751</v>
      </c>
      <c r="M187">
        <v>1</v>
      </c>
      <c r="N187">
        <v>1</v>
      </c>
      <c r="O187">
        <v>0</v>
      </c>
      <c r="P187">
        <v>5</v>
      </c>
      <c r="Q187" t="s">
        <v>7</v>
      </c>
    </row>
    <row r="188" spans="1:17">
      <c r="A188" t="s">
        <v>970</v>
      </c>
      <c r="B188" t="s">
        <v>965</v>
      </c>
      <c r="C188">
        <v>0</v>
      </c>
      <c r="E188" t="s">
        <v>972</v>
      </c>
      <c r="F188" t="s">
        <v>981</v>
      </c>
      <c r="G188" t="s">
        <v>962</v>
      </c>
      <c r="H188">
        <v>1.331</v>
      </c>
      <c r="K188">
        <v>107860603</v>
      </c>
      <c r="L188" s="2">
        <v>45559</v>
      </c>
      <c r="M188">
        <v>21</v>
      </c>
      <c r="N188">
        <v>1</v>
      </c>
      <c r="O188">
        <v>8</v>
      </c>
      <c r="P188">
        <v>1</v>
      </c>
      <c r="Q188" t="s">
        <v>3</v>
      </c>
    </row>
    <row r="189" spans="1:17">
      <c r="A189" t="s">
        <v>970</v>
      </c>
      <c r="B189" t="s">
        <v>965</v>
      </c>
      <c r="C189">
        <v>0</v>
      </c>
      <c r="E189" t="s">
        <v>972</v>
      </c>
      <c r="F189" t="s">
        <v>981</v>
      </c>
      <c r="G189" t="s">
        <v>962</v>
      </c>
      <c r="H189">
        <v>1.331</v>
      </c>
      <c r="K189">
        <v>107693402</v>
      </c>
      <c r="L189" s="2">
        <v>45400</v>
      </c>
      <c r="M189">
        <v>21</v>
      </c>
      <c r="N189">
        <v>1</v>
      </c>
      <c r="O189">
        <v>0</v>
      </c>
      <c r="P189">
        <v>1</v>
      </c>
      <c r="Q189" t="s">
        <v>7</v>
      </c>
    </row>
    <row r="190" spans="1:17">
      <c r="A190" t="s">
        <v>970</v>
      </c>
      <c r="B190" t="s">
        <v>965</v>
      </c>
      <c r="C190">
        <v>0</v>
      </c>
      <c r="E190" t="s">
        <v>972</v>
      </c>
      <c r="F190" t="s">
        <v>971</v>
      </c>
      <c r="G190" t="s">
        <v>962</v>
      </c>
      <c r="H190">
        <v>1.331</v>
      </c>
      <c r="K190">
        <v>107122160</v>
      </c>
      <c r="L190" s="2">
        <v>44858</v>
      </c>
      <c r="M190">
        <v>17</v>
      </c>
      <c r="N190">
        <v>1</v>
      </c>
      <c r="O190">
        <v>8</v>
      </c>
      <c r="P190">
        <v>5</v>
      </c>
      <c r="Q190" t="s">
        <v>7</v>
      </c>
    </row>
    <row r="191" spans="1:17">
      <c r="A191" t="s">
        <v>970</v>
      </c>
      <c r="B191" t="s">
        <v>965</v>
      </c>
      <c r="C191">
        <v>0</v>
      </c>
      <c r="E191" t="s">
        <v>972</v>
      </c>
      <c r="G191" t="s">
        <v>962</v>
      </c>
      <c r="H191">
        <v>1.331</v>
      </c>
      <c r="K191">
        <v>106901756</v>
      </c>
      <c r="L191" s="2">
        <v>44645</v>
      </c>
      <c r="M191">
        <v>22</v>
      </c>
      <c r="N191">
        <v>1</v>
      </c>
      <c r="O191">
        <v>8</v>
      </c>
      <c r="P191">
        <v>1</v>
      </c>
      <c r="Q191" t="s">
        <v>7</v>
      </c>
    </row>
    <row r="192" spans="1:17">
      <c r="A192" t="s">
        <v>970</v>
      </c>
      <c r="B192" t="s">
        <v>965</v>
      </c>
      <c r="C192">
        <v>0.3</v>
      </c>
      <c r="D192" t="s">
        <v>762</v>
      </c>
      <c r="E192" t="s">
        <v>971</v>
      </c>
      <c r="F192" t="s">
        <v>968</v>
      </c>
      <c r="G192" t="s">
        <v>962</v>
      </c>
      <c r="H192">
        <v>1.341</v>
      </c>
      <c r="K192">
        <v>107038594</v>
      </c>
      <c r="L192" s="2">
        <v>44780</v>
      </c>
      <c r="M192">
        <v>17</v>
      </c>
      <c r="N192">
        <v>1</v>
      </c>
      <c r="O192">
        <v>0</v>
      </c>
      <c r="P192">
        <v>5</v>
      </c>
      <c r="Q192" t="s">
        <v>7</v>
      </c>
    </row>
    <row r="193" spans="1:17">
      <c r="A193" t="s">
        <v>970</v>
      </c>
      <c r="B193" t="s">
        <v>965</v>
      </c>
      <c r="C193">
        <v>1.0999999999999999E-2</v>
      </c>
      <c r="D193" t="s">
        <v>756</v>
      </c>
      <c r="E193" t="s">
        <v>972</v>
      </c>
      <c r="F193" t="s">
        <v>981</v>
      </c>
      <c r="G193" t="s">
        <v>962</v>
      </c>
      <c r="H193">
        <v>1.3420000000000001</v>
      </c>
      <c r="K193">
        <v>105421693</v>
      </c>
      <c r="L193" s="2">
        <v>43176</v>
      </c>
      <c r="M193">
        <v>1</v>
      </c>
      <c r="N193">
        <v>1</v>
      </c>
      <c r="O193">
        <v>0</v>
      </c>
      <c r="P193">
        <v>5</v>
      </c>
      <c r="Q193" t="s">
        <v>7</v>
      </c>
    </row>
    <row r="194" spans="1:17">
      <c r="A194" t="s">
        <v>970</v>
      </c>
      <c r="B194" t="s">
        <v>965</v>
      </c>
      <c r="C194">
        <v>4.7E-2</v>
      </c>
      <c r="D194" t="s">
        <v>758</v>
      </c>
      <c r="E194" t="s">
        <v>981</v>
      </c>
      <c r="F194" t="s">
        <v>972</v>
      </c>
      <c r="G194" t="s">
        <v>962</v>
      </c>
      <c r="H194">
        <v>1.3640000000000001</v>
      </c>
      <c r="K194">
        <v>105944932</v>
      </c>
      <c r="L194" s="2">
        <v>43649</v>
      </c>
      <c r="M194">
        <v>1</v>
      </c>
      <c r="N194">
        <v>1</v>
      </c>
      <c r="O194">
        <v>0</v>
      </c>
      <c r="P194">
        <v>1</v>
      </c>
      <c r="Q194" t="s">
        <v>7</v>
      </c>
    </row>
    <row r="195" spans="1:17">
      <c r="A195" t="s">
        <v>970</v>
      </c>
      <c r="B195" t="s">
        <v>981</v>
      </c>
      <c r="C195">
        <v>0</v>
      </c>
      <c r="E195" t="s">
        <v>965</v>
      </c>
      <c r="G195" t="s">
        <v>962</v>
      </c>
      <c r="H195">
        <v>1.411</v>
      </c>
      <c r="K195">
        <v>106489666</v>
      </c>
      <c r="L195" s="2">
        <v>44235</v>
      </c>
      <c r="M195">
        <v>30</v>
      </c>
      <c r="N195">
        <v>1</v>
      </c>
      <c r="O195">
        <v>8</v>
      </c>
      <c r="P195">
        <v>1</v>
      </c>
      <c r="Q195" t="s">
        <v>3</v>
      </c>
    </row>
    <row r="196" spans="1:17">
      <c r="A196" t="s">
        <v>970</v>
      </c>
      <c r="B196" t="s">
        <v>965</v>
      </c>
      <c r="C196">
        <v>0</v>
      </c>
      <c r="E196" t="s">
        <v>981</v>
      </c>
      <c r="F196" t="s">
        <v>972</v>
      </c>
      <c r="G196" t="s">
        <v>962</v>
      </c>
      <c r="H196">
        <v>1.411</v>
      </c>
      <c r="K196">
        <v>107515439</v>
      </c>
      <c r="L196" s="2">
        <v>45234</v>
      </c>
      <c r="M196">
        <v>30</v>
      </c>
      <c r="N196">
        <v>1</v>
      </c>
      <c r="O196">
        <v>8</v>
      </c>
      <c r="P196">
        <v>1</v>
      </c>
      <c r="Q196" t="s">
        <v>7</v>
      </c>
    </row>
    <row r="197" spans="1:17">
      <c r="A197" t="s">
        <v>970</v>
      </c>
      <c r="B197" t="s">
        <v>965</v>
      </c>
      <c r="C197">
        <v>0</v>
      </c>
      <c r="E197" t="s">
        <v>981</v>
      </c>
      <c r="F197" t="s">
        <v>980</v>
      </c>
      <c r="G197" t="s">
        <v>962</v>
      </c>
      <c r="H197">
        <v>1.411</v>
      </c>
      <c r="K197">
        <v>108562132</v>
      </c>
      <c r="L197" s="2">
        <v>46220</v>
      </c>
      <c r="M197">
        <v>21</v>
      </c>
      <c r="N197">
        <v>1</v>
      </c>
      <c r="O197">
        <v>8</v>
      </c>
      <c r="P197">
        <v>1</v>
      </c>
      <c r="Q197" t="s">
        <v>3</v>
      </c>
    </row>
    <row r="198" spans="1:17">
      <c r="A198" t="s">
        <v>970</v>
      </c>
      <c r="B198" t="s">
        <v>965</v>
      </c>
      <c r="C198">
        <v>0.28000000000000003</v>
      </c>
      <c r="D198" t="s">
        <v>756</v>
      </c>
      <c r="E198" t="s">
        <v>972</v>
      </c>
      <c r="F198" t="s">
        <v>971</v>
      </c>
      <c r="G198" t="s">
        <v>962</v>
      </c>
      <c r="H198">
        <v>1.611</v>
      </c>
      <c r="K198">
        <v>106367037</v>
      </c>
      <c r="L198" s="2">
        <v>44117</v>
      </c>
      <c r="M198">
        <v>30</v>
      </c>
      <c r="N198">
        <v>1</v>
      </c>
      <c r="O198">
        <v>0</v>
      </c>
      <c r="P198">
        <v>1</v>
      </c>
      <c r="Q198" t="s">
        <v>7</v>
      </c>
    </row>
    <row r="199" spans="1:17">
      <c r="A199" t="s">
        <v>970</v>
      </c>
      <c r="B199" t="s">
        <v>965</v>
      </c>
      <c r="C199">
        <v>9.5000000000000001E-2</v>
      </c>
      <c r="D199" t="s">
        <v>758</v>
      </c>
      <c r="E199" t="s">
        <v>980</v>
      </c>
      <c r="F199" t="s">
        <v>981</v>
      </c>
      <c r="G199" t="s">
        <v>962</v>
      </c>
      <c r="H199">
        <v>1.617</v>
      </c>
      <c r="K199">
        <v>107871653</v>
      </c>
      <c r="L199" s="2">
        <v>45565</v>
      </c>
      <c r="M199">
        <v>21</v>
      </c>
      <c r="N199">
        <v>2</v>
      </c>
      <c r="O199">
        <v>0</v>
      </c>
      <c r="P199">
        <v>1</v>
      </c>
      <c r="Q199" t="s">
        <v>7</v>
      </c>
    </row>
    <row r="200" spans="1:17">
      <c r="A200" t="s">
        <v>970</v>
      </c>
      <c r="B200" t="s">
        <v>965</v>
      </c>
      <c r="C200">
        <v>0.22</v>
      </c>
      <c r="D200" t="s">
        <v>762</v>
      </c>
      <c r="E200" t="s">
        <v>981</v>
      </c>
      <c r="F200" t="s">
        <v>980</v>
      </c>
      <c r="G200" t="s">
        <v>962</v>
      </c>
      <c r="H200">
        <v>1.631</v>
      </c>
      <c r="K200">
        <v>107418388</v>
      </c>
      <c r="L200" s="2">
        <v>45143</v>
      </c>
      <c r="M200">
        <v>28</v>
      </c>
      <c r="N200">
        <v>1</v>
      </c>
      <c r="O200">
        <v>0</v>
      </c>
      <c r="P200">
        <v>1</v>
      </c>
      <c r="Q200" t="s">
        <v>7</v>
      </c>
    </row>
    <row r="201" spans="1:17">
      <c r="A201" t="s">
        <v>970</v>
      </c>
      <c r="B201" t="s">
        <v>965</v>
      </c>
      <c r="C201">
        <v>0.08</v>
      </c>
      <c r="D201" t="s">
        <v>758</v>
      </c>
      <c r="E201" t="s">
        <v>980</v>
      </c>
      <c r="F201" t="s">
        <v>981</v>
      </c>
      <c r="G201" t="s">
        <v>962</v>
      </c>
      <c r="H201">
        <v>1.6319999999999999</v>
      </c>
      <c r="K201">
        <v>107599962</v>
      </c>
      <c r="L201" s="2">
        <v>45309</v>
      </c>
      <c r="M201">
        <v>2</v>
      </c>
      <c r="N201">
        <v>1</v>
      </c>
      <c r="O201">
        <v>14</v>
      </c>
      <c r="P201">
        <v>1</v>
      </c>
      <c r="Q201" t="s">
        <v>7</v>
      </c>
    </row>
    <row r="202" spans="1:17">
      <c r="A202" t="s">
        <v>970</v>
      </c>
      <c r="B202" t="s">
        <v>965</v>
      </c>
      <c r="C202">
        <v>0.06</v>
      </c>
      <c r="D202" t="s">
        <v>758</v>
      </c>
      <c r="E202" t="s">
        <v>980</v>
      </c>
      <c r="F202" t="s">
        <v>1009</v>
      </c>
      <c r="G202" t="s">
        <v>962</v>
      </c>
      <c r="H202">
        <v>1.6519999999999999</v>
      </c>
      <c r="K202">
        <v>107482672</v>
      </c>
      <c r="L202" s="2">
        <v>45204</v>
      </c>
      <c r="M202">
        <v>28</v>
      </c>
      <c r="N202">
        <v>1</v>
      </c>
      <c r="O202">
        <v>0</v>
      </c>
      <c r="P202">
        <v>1</v>
      </c>
      <c r="Q202" t="s">
        <v>7</v>
      </c>
    </row>
    <row r="203" spans="1:17">
      <c r="A203" t="s">
        <v>970</v>
      </c>
      <c r="B203" t="s">
        <v>965</v>
      </c>
      <c r="C203">
        <v>0.06</v>
      </c>
      <c r="D203" t="s">
        <v>765</v>
      </c>
      <c r="E203" t="s">
        <v>980</v>
      </c>
      <c r="F203" t="s">
        <v>981</v>
      </c>
      <c r="G203" t="s">
        <v>962</v>
      </c>
      <c r="H203">
        <v>1.6519999999999999</v>
      </c>
      <c r="K203">
        <v>108071000</v>
      </c>
      <c r="L203" s="2">
        <v>45750</v>
      </c>
      <c r="M203">
        <v>28</v>
      </c>
      <c r="N203">
        <v>1</v>
      </c>
      <c r="O203">
        <v>0</v>
      </c>
      <c r="P203">
        <v>1</v>
      </c>
      <c r="Q203" t="s">
        <v>7</v>
      </c>
    </row>
    <row r="204" spans="1:17">
      <c r="A204" t="s">
        <v>970</v>
      </c>
      <c r="B204" t="s">
        <v>965</v>
      </c>
      <c r="C204">
        <v>5.7000000000000002E-2</v>
      </c>
      <c r="D204" t="s">
        <v>758</v>
      </c>
      <c r="E204" t="s">
        <v>980</v>
      </c>
      <c r="F204" t="s">
        <v>981</v>
      </c>
      <c r="G204" t="s">
        <v>962</v>
      </c>
      <c r="H204">
        <v>1.655</v>
      </c>
      <c r="K204">
        <v>108163258</v>
      </c>
      <c r="L204" s="2">
        <v>45840</v>
      </c>
      <c r="M204">
        <v>28</v>
      </c>
      <c r="N204">
        <v>1</v>
      </c>
      <c r="O204">
        <v>12</v>
      </c>
      <c r="P204">
        <v>1</v>
      </c>
      <c r="Q204" t="s">
        <v>7</v>
      </c>
    </row>
    <row r="205" spans="1:17">
      <c r="A205" t="s">
        <v>970</v>
      </c>
      <c r="B205" t="s">
        <v>980</v>
      </c>
      <c r="C205">
        <v>0</v>
      </c>
      <c r="E205" t="s">
        <v>965</v>
      </c>
      <c r="F205" t="s">
        <v>981</v>
      </c>
      <c r="G205" t="s">
        <v>962</v>
      </c>
      <c r="H205">
        <v>1.712</v>
      </c>
      <c r="K205">
        <v>105567593</v>
      </c>
      <c r="L205" s="2">
        <v>43323</v>
      </c>
      <c r="M205">
        <v>19</v>
      </c>
      <c r="N205">
        <v>1</v>
      </c>
      <c r="O205">
        <v>8</v>
      </c>
      <c r="P205">
        <v>1</v>
      </c>
      <c r="Q205" t="s">
        <v>7</v>
      </c>
    </row>
    <row r="206" spans="1:17">
      <c r="A206" t="s">
        <v>970</v>
      </c>
      <c r="B206" t="s">
        <v>965</v>
      </c>
      <c r="C206">
        <v>0</v>
      </c>
      <c r="E206" t="s">
        <v>980</v>
      </c>
      <c r="F206" t="s">
        <v>1007</v>
      </c>
      <c r="G206" t="s">
        <v>962</v>
      </c>
      <c r="H206">
        <v>1.712</v>
      </c>
      <c r="K206">
        <v>108126315</v>
      </c>
      <c r="L206" s="2">
        <v>45806</v>
      </c>
      <c r="M206">
        <v>30</v>
      </c>
      <c r="N206">
        <v>1</v>
      </c>
      <c r="O206">
        <v>7</v>
      </c>
      <c r="P206">
        <v>1</v>
      </c>
      <c r="Q206" t="s">
        <v>8</v>
      </c>
    </row>
    <row r="207" spans="1:17">
      <c r="A207" t="s">
        <v>970</v>
      </c>
      <c r="B207" t="s">
        <v>965</v>
      </c>
      <c r="C207">
        <v>2.7E-2</v>
      </c>
      <c r="D207" t="s">
        <v>6</v>
      </c>
      <c r="E207" t="s">
        <v>980</v>
      </c>
      <c r="F207" t="s">
        <v>978</v>
      </c>
      <c r="G207" t="s">
        <v>962</v>
      </c>
      <c r="H207">
        <v>1.7390000000000001</v>
      </c>
      <c r="K207">
        <v>108429922</v>
      </c>
      <c r="L207" s="2">
        <v>46094</v>
      </c>
      <c r="M207">
        <v>30</v>
      </c>
      <c r="N207">
        <v>1</v>
      </c>
      <c r="O207">
        <v>0</v>
      </c>
      <c r="P207">
        <v>1</v>
      </c>
      <c r="Q207" t="s">
        <v>3</v>
      </c>
    </row>
    <row r="208" spans="1:17">
      <c r="A208" t="s">
        <v>970</v>
      </c>
      <c r="B208" t="s">
        <v>965</v>
      </c>
      <c r="C208">
        <v>9.5000000000000001E-2</v>
      </c>
      <c r="D208" t="s">
        <v>6</v>
      </c>
      <c r="E208" t="s">
        <v>980</v>
      </c>
      <c r="F208" t="s">
        <v>985</v>
      </c>
      <c r="G208" t="s">
        <v>962</v>
      </c>
      <c r="H208">
        <v>1.8069999999999999</v>
      </c>
      <c r="K208">
        <v>106964506</v>
      </c>
      <c r="L208" s="2">
        <v>44704</v>
      </c>
      <c r="M208">
        <v>2</v>
      </c>
      <c r="N208">
        <v>1</v>
      </c>
      <c r="O208">
        <v>14</v>
      </c>
      <c r="P208">
        <v>5</v>
      </c>
      <c r="Q208" t="s">
        <v>7</v>
      </c>
    </row>
    <row r="209" spans="1:23">
      <c r="A209" t="s">
        <v>754</v>
      </c>
      <c r="B209" t="s">
        <v>962</v>
      </c>
      <c r="C209">
        <v>9.0999999999999998E-2</v>
      </c>
      <c r="D209" t="s">
        <v>758</v>
      </c>
      <c r="E209" t="s">
        <v>975</v>
      </c>
      <c r="F209" t="s">
        <v>980</v>
      </c>
      <c r="G209" t="s">
        <v>962</v>
      </c>
      <c r="H209">
        <v>1.8109999999999999</v>
      </c>
      <c r="K209">
        <v>106555605</v>
      </c>
      <c r="L209" s="2">
        <v>44310</v>
      </c>
      <c r="M209">
        <v>21</v>
      </c>
      <c r="N209">
        <v>2</v>
      </c>
      <c r="O209">
        <v>0</v>
      </c>
      <c r="P209">
        <v>1</v>
      </c>
      <c r="Q209" t="s">
        <v>3</v>
      </c>
    </row>
    <row r="210" spans="1:23">
      <c r="A210" t="s">
        <v>754</v>
      </c>
      <c r="B210" t="s">
        <v>965</v>
      </c>
      <c r="C210">
        <v>0.1</v>
      </c>
      <c r="D210" t="s">
        <v>756</v>
      </c>
      <c r="E210" t="s">
        <v>980</v>
      </c>
      <c r="F210" t="s">
        <v>1080</v>
      </c>
      <c r="G210" t="s">
        <v>962</v>
      </c>
      <c r="H210">
        <v>1.8120000000000001</v>
      </c>
      <c r="K210">
        <v>107028457</v>
      </c>
      <c r="L210" s="2">
        <v>44760</v>
      </c>
      <c r="M210">
        <v>21</v>
      </c>
      <c r="N210">
        <v>1</v>
      </c>
      <c r="O210">
        <v>0</v>
      </c>
      <c r="P210">
        <v>5</v>
      </c>
      <c r="Q210" t="s">
        <v>7</v>
      </c>
    </row>
    <row r="211" spans="1:23">
      <c r="A211" t="s">
        <v>970</v>
      </c>
      <c r="B211" t="s">
        <v>965</v>
      </c>
      <c r="C211">
        <v>5.7000000000000002E-2</v>
      </c>
      <c r="D211" t="s">
        <v>758</v>
      </c>
      <c r="E211" t="s">
        <v>975</v>
      </c>
      <c r="F211" t="s">
        <v>987</v>
      </c>
      <c r="G211" t="s">
        <v>962</v>
      </c>
      <c r="H211">
        <v>1.845</v>
      </c>
      <c r="K211">
        <v>105258060</v>
      </c>
      <c r="L211" s="2">
        <v>43026</v>
      </c>
      <c r="M211">
        <v>17</v>
      </c>
      <c r="N211">
        <v>1</v>
      </c>
      <c r="O211">
        <v>0</v>
      </c>
      <c r="P211">
        <v>1</v>
      </c>
    </row>
    <row r="212" spans="1:23">
      <c r="A212" t="s">
        <v>754</v>
      </c>
      <c r="B212" t="s">
        <v>962</v>
      </c>
      <c r="C212">
        <v>0.3</v>
      </c>
      <c r="D212" t="s">
        <v>758</v>
      </c>
      <c r="E212" t="s">
        <v>968</v>
      </c>
      <c r="F212" t="s">
        <v>973</v>
      </c>
      <c r="G212" t="s">
        <v>962</v>
      </c>
      <c r="H212">
        <v>1.8919999999999999</v>
      </c>
      <c r="K212">
        <v>106863997</v>
      </c>
      <c r="L212" s="2">
        <v>44602</v>
      </c>
      <c r="M212">
        <v>21</v>
      </c>
      <c r="N212">
        <v>1</v>
      </c>
      <c r="O212">
        <v>8</v>
      </c>
      <c r="P212">
        <v>1</v>
      </c>
      <c r="Q212" t="s">
        <v>7</v>
      </c>
    </row>
    <row r="213" spans="1:23">
      <c r="A213" t="s">
        <v>754</v>
      </c>
      <c r="B213" t="s">
        <v>962</v>
      </c>
      <c r="C213">
        <v>0.3</v>
      </c>
      <c r="D213" t="s">
        <v>758</v>
      </c>
      <c r="E213" t="s">
        <v>968</v>
      </c>
      <c r="F213" t="s">
        <v>973</v>
      </c>
      <c r="G213" t="s">
        <v>962</v>
      </c>
      <c r="H213">
        <v>1.8919999999999999</v>
      </c>
      <c r="K213">
        <v>106638733</v>
      </c>
      <c r="L213" s="2">
        <v>44391</v>
      </c>
      <c r="M213">
        <v>21</v>
      </c>
      <c r="N213">
        <v>1</v>
      </c>
      <c r="O213">
        <v>12</v>
      </c>
      <c r="P213">
        <v>1</v>
      </c>
      <c r="Q213" t="s">
        <v>3</v>
      </c>
    </row>
    <row r="214" spans="1:23">
      <c r="A214" t="s">
        <v>754</v>
      </c>
      <c r="B214" t="s">
        <v>962</v>
      </c>
      <c r="C214">
        <v>2E-3</v>
      </c>
      <c r="D214" t="s">
        <v>758</v>
      </c>
      <c r="E214" t="s">
        <v>1003</v>
      </c>
      <c r="F214" t="s">
        <v>1004</v>
      </c>
      <c r="G214" t="s">
        <v>962</v>
      </c>
      <c r="H214">
        <v>1.9</v>
      </c>
      <c r="K214">
        <v>106820436</v>
      </c>
      <c r="L214" s="2">
        <v>44561</v>
      </c>
      <c r="M214">
        <v>21</v>
      </c>
      <c r="N214">
        <v>1</v>
      </c>
      <c r="O214">
        <v>12</v>
      </c>
      <c r="P214">
        <v>1</v>
      </c>
      <c r="Q214" t="s">
        <v>3</v>
      </c>
    </row>
    <row r="215" spans="1:23">
      <c r="A215" t="s">
        <v>1021</v>
      </c>
      <c r="B215" t="s">
        <v>975</v>
      </c>
      <c r="C215">
        <v>0</v>
      </c>
      <c r="E215" t="s">
        <v>965</v>
      </c>
      <c r="G215" t="s">
        <v>962</v>
      </c>
      <c r="H215">
        <v>1.9019999999999999</v>
      </c>
      <c r="K215">
        <v>108392108</v>
      </c>
      <c r="L215" s="2">
        <v>46058</v>
      </c>
      <c r="M215">
        <v>31</v>
      </c>
      <c r="N215">
        <v>1</v>
      </c>
      <c r="O215">
        <v>8</v>
      </c>
      <c r="P215">
        <v>1</v>
      </c>
      <c r="Q215" t="s">
        <v>7</v>
      </c>
    </row>
    <row r="216" spans="1:23">
      <c r="A216" t="s">
        <v>754</v>
      </c>
      <c r="B216" t="s">
        <v>965</v>
      </c>
      <c r="C216">
        <v>0</v>
      </c>
      <c r="E216" t="s">
        <v>975</v>
      </c>
      <c r="F216" t="s">
        <v>968</v>
      </c>
      <c r="G216" t="s">
        <v>962</v>
      </c>
      <c r="H216">
        <v>1.9019999999999999</v>
      </c>
      <c r="K216">
        <v>105941272</v>
      </c>
      <c r="L216" s="2">
        <v>43676</v>
      </c>
      <c r="M216">
        <v>21</v>
      </c>
      <c r="N216">
        <v>1</v>
      </c>
      <c r="O216">
        <v>8</v>
      </c>
      <c r="P216">
        <v>1</v>
      </c>
      <c r="Q216" t="s">
        <v>7</v>
      </c>
    </row>
    <row r="217" spans="1:23">
      <c r="A217" t="s">
        <v>1021</v>
      </c>
      <c r="B217" t="s">
        <v>965</v>
      </c>
      <c r="C217">
        <v>0</v>
      </c>
      <c r="E217" t="s">
        <v>975</v>
      </c>
      <c r="F217" t="s">
        <v>968</v>
      </c>
      <c r="G217" t="s">
        <v>962</v>
      </c>
      <c r="H217">
        <v>1.9019999999999999</v>
      </c>
      <c r="K217">
        <v>104951394</v>
      </c>
      <c r="L217" s="2">
        <v>42720</v>
      </c>
      <c r="M217">
        <v>21</v>
      </c>
      <c r="N217">
        <v>1</v>
      </c>
      <c r="O217">
        <v>8</v>
      </c>
      <c r="P217">
        <v>1</v>
      </c>
      <c r="Q217" t="s">
        <v>7</v>
      </c>
    </row>
    <row r="218" spans="1:23">
      <c r="A218" t="s">
        <v>1021</v>
      </c>
      <c r="B218" t="s">
        <v>962</v>
      </c>
      <c r="C218">
        <v>0</v>
      </c>
      <c r="E218" t="s">
        <v>975</v>
      </c>
      <c r="F218" t="s">
        <v>973</v>
      </c>
      <c r="G218" t="s">
        <v>962</v>
      </c>
      <c r="H218">
        <v>1.9019999999999999</v>
      </c>
      <c r="K218">
        <v>106123663</v>
      </c>
      <c r="L218" s="2">
        <v>43833</v>
      </c>
      <c r="M218">
        <v>21</v>
      </c>
      <c r="N218">
        <v>2</v>
      </c>
      <c r="O218">
        <v>12</v>
      </c>
      <c r="P218">
        <v>1</v>
      </c>
      <c r="Q218" t="s">
        <v>7</v>
      </c>
    </row>
    <row r="219" spans="1:23">
      <c r="A219" t="s">
        <v>754</v>
      </c>
      <c r="B219" t="s">
        <v>962</v>
      </c>
      <c r="C219">
        <v>0</v>
      </c>
      <c r="E219" t="s">
        <v>975</v>
      </c>
      <c r="F219" t="s">
        <v>973</v>
      </c>
      <c r="G219" t="s">
        <v>962</v>
      </c>
      <c r="H219">
        <v>1.9019999999999999</v>
      </c>
      <c r="K219">
        <v>106428434</v>
      </c>
      <c r="L219" s="2">
        <v>44169</v>
      </c>
      <c r="M219">
        <v>21</v>
      </c>
      <c r="N219">
        <v>1</v>
      </c>
      <c r="O219">
        <v>0</v>
      </c>
      <c r="P219">
        <v>1</v>
      </c>
      <c r="Q219" t="s">
        <v>7</v>
      </c>
    </row>
    <row r="220" spans="1:23">
      <c r="A220" t="s">
        <v>754</v>
      </c>
      <c r="B220" t="s">
        <v>962</v>
      </c>
      <c r="C220">
        <v>0</v>
      </c>
      <c r="E220" t="s">
        <v>1003</v>
      </c>
      <c r="F220" t="s">
        <v>968</v>
      </c>
      <c r="G220" t="s">
        <v>962</v>
      </c>
      <c r="H220">
        <v>1.9019999999999999</v>
      </c>
      <c r="K220">
        <v>107025244</v>
      </c>
      <c r="L220" s="2">
        <v>44764</v>
      </c>
      <c r="M220">
        <v>22</v>
      </c>
      <c r="N220">
        <v>1</v>
      </c>
      <c r="O220">
        <v>8</v>
      </c>
      <c r="P220">
        <v>1</v>
      </c>
      <c r="Q220" t="s">
        <v>3</v>
      </c>
    </row>
    <row r="221" spans="1:23">
      <c r="A221" t="s">
        <v>754</v>
      </c>
      <c r="B221" t="s">
        <v>962</v>
      </c>
      <c r="C221">
        <v>4.9000000000000002E-2</v>
      </c>
      <c r="D221" t="s">
        <v>758</v>
      </c>
      <c r="E221" t="s">
        <v>977</v>
      </c>
      <c r="F221" t="s">
        <v>1166</v>
      </c>
      <c r="G221" t="s">
        <v>962</v>
      </c>
      <c r="H221">
        <v>1.9390000000000001</v>
      </c>
      <c r="K221">
        <v>108248343</v>
      </c>
      <c r="L221" s="2">
        <v>45929</v>
      </c>
      <c r="M221">
        <v>21</v>
      </c>
      <c r="N221">
        <v>2</v>
      </c>
      <c r="O221">
        <v>0</v>
      </c>
      <c r="P221">
        <v>1</v>
      </c>
      <c r="Q221" t="s">
        <v>3</v>
      </c>
      <c r="R221">
        <v>35.176949999999998</v>
      </c>
      <c r="S221">
        <v>-79.435969999999998</v>
      </c>
      <c r="T221" t="s">
        <v>761</v>
      </c>
      <c r="U221" t="s">
        <v>367</v>
      </c>
      <c r="V221">
        <v>0.46050000000000002</v>
      </c>
    </row>
    <row r="222" spans="1:23">
      <c r="A222" t="s">
        <v>1021</v>
      </c>
      <c r="B222" t="s">
        <v>965</v>
      </c>
      <c r="C222">
        <v>0.45</v>
      </c>
      <c r="D222" t="s">
        <v>758</v>
      </c>
      <c r="E222" t="s">
        <v>967</v>
      </c>
      <c r="F222" t="s">
        <v>968</v>
      </c>
      <c r="G222" t="s">
        <v>962</v>
      </c>
      <c r="H222">
        <v>1.9530000000000001</v>
      </c>
      <c r="J222" t="s">
        <v>1208</v>
      </c>
      <c r="K222">
        <v>106802351</v>
      </c>
      <c r="L222" s="2">
        <v>44504</v>
      </c>
      <c r="M222">
        <v>24</v>
      </c>
      <c r="N222">
        <v>2</v>
      </c>
      <c r="O222">
        <v>8</v>
      </c>
      <c r="P222">
        <v>1</v>
      </c>
      <c r="Q222" t="s">
        <v>7</v>
      </c>
      <c r="W222" t="s">
        <v>1347</v>
      </c>
    </row>
    <row r="223" spans="1:23">
      <c r="A223" t="s">
        <v>1021</v>
      </c>
      <c r="B223" t="s">
        <v>962</v>
      </c>
      <c r="C223">
        <v>8.9999999999999993E-3</v>
      </c>
      <c r="D223" t="s">
        <v>758</v>
      </c>
      <c r="E223" t="s">
        <v>977</v>
      </c>
      <c r="F223" t="s">
        <v>971</v>
      </c>
      <c r="G223" t="s">
        <v>962</v>
      </c>
      <c r="H223">
        <v>1.9790000000000001</v>
      </c>
      <c r="K223">
        <v>106112484</v>
      </c>
      <c r="L223" s="2">
        <v>43829</v>
      </c>
      <c r="M223">
        <v>21</v>
      </c>
      <c r="N223">
        <v>1</v>
      </c>
      <c r="O223">
        <v>0</v>
      </c>
      <c r="P223">
        <v>1</v>
      </c>
      <c r="Q223" t="s">
        <v>7</v>
      </c>
    </row>
    <row r="224" spans="1:23">
      <c r="A224" t="s">
        <v>1021</v>
      </c>
      <c r="B224" t="s">
        <v>962</v>
      </c>
      <c r="C224">
        <v>2E-3</v>
      </c>
      <c r="D224" t="s">
        <v>758</v>
      </c>
      <c r="E224" t="s">
        <v>977</v>
      </c>
      <c r="F224" t="s">
        <v>975</v>
      </c>
      <c r="G224" t="s">
        <v>962</v>
      </c>
      <c r="H224">
        <v>1.986</v>
      </c>
      <c r="K224">
        <v>105149399</v>
      </c>
      <c r="L224" s="2">
        <v>42902</v>
      </c>
      <c r="M224">
        <v>21</v>
      </c>
      <c r="N224">
        <v>1</v>
      </c>
      <c r="O224">
        <v>0</v>
      </c>
      <c r="P224">
        <v>1</v>
      </c>
      <c r="Q224" t="s">
        <v>3</v>
      </c>
    </row>
    <row r="225" spans="1:22">
      <c r="A225" t="s">
        <v>1021</v>
      </c>
      <c r="B225" t="s">
        <v>965</v>
      </c>
      <c r="C225">
        <v>0</v>
      </c>
      <c r="E225" t="s">
        <v>977</v>
      </c>
      <c r="F225" t="s">
        <v>968</v>
      </c>
      <c r="G225" t="s">
        <v>962</v>
      </c>
      <c r="H225">
        <v>1.988</v>
      </c>
      <c r="K225">
        <v>108252091</v>
      </c>
      <c r="L225" s="2">
        <v>45934</v>
      </c>
      <c r="M225">
        <v>17</v>
      </c>
      <c r="N225">
        <v>1</v>
      </c>
      <c r="O225">
        <v>8</v>
      </c>
      <c r="P225">
        <v>1</v>
      </c>
      <c r="Q225" t="s">
        <v>7</v>
      </c>
    </row>
    <row r="226" spans="1:22">
      <c r="A226" t="s">
        <v>1021</v>
      </c>
      <c r="B226" t="s">
        <v>965</v>
      </c>
      <c r="C226">
        <v>0</v>
      </c>
      <c r="E226" t="s">
        <v>977</v>
      </c>
      <c r="F226" t="s">
        <v>968</v>
      </c>
      <c r="G226" t="s">
        <v>962</v>
      </c>
      <c r="H226">
        <v>1.988</v>
      </c>
      <c r="K226">
        <v>107519842</v>
      </c>
      <c r="L226" s="2">
        <v>45237</v>
      </c>
      <c r="M226">
        <v>22</v>
      </c>
      <c r="N226">
        <v>1</v>
      </c>
      <c r="O226">
        <v>8</v>
      </c>
      <c r="P226">
        <v>1</v>
      </c>
      <c r="Q226" t="s">
        <v>7</v>
      </c>
    </row>
    <row r="227" spans="1:22">
      <c r="A227" t="s">
        <v>1021</v>
      </c>
      <c r="B227" t="s">
        <v>965</v>
      </c>
      <c r="C227">
        <v>0</v>
      </c>
      <c r="E227" t="s">
        <v>977</v>
      </c>
      <c r="F227" t="s">
        <v>968</v>
      </c>
      <c r="G227" t="s">
        <v>962</v>
      </c>
      <c r="H227">
        <v>1.988</v>
      </c>
      <c r="K227">
        <v>105155943</v>
      </c>
      <c r="L227" s="2">
        <v>42923</v>
      </c>
      <c r="M227">
        <v>24</v>
      </c>
      <c r="N227">
        <v>1</v>
      </c>
      <c r="O227">
        <v>8</v>
      </c>
      <c r="P227">
        <v>1</v>
      </c>
      <c r="Q227" t="s">
        <v>3</v>
      </c>
    </row>
    <row r="228" spans="1:22">
      <c r="A228" t="s">
        <v>754</v>
      </c>
      <c r="B228" t="s">
        <v>962</v>
      </c>
      <c r="C228">
        <v>0</v>
      </c>
      <c r="E228" t="s">
        <v>977</v>
      </c>
      <c r="F228" t="s">
        <v>968</v>
      </c>
      <c r="G228" t="s">
        <v>962</v>
      </c>
      <c r="H228">
        <v>1.988</v>
      </c>
      <c r="K228">
        <v>106912986</v>
      </c>
      <c r="L228" s="2">
        <v>44653</v>
      </c>
      <c r="M228">
        <v>21</v>
      </c>
      <c r="N228">
        <v>1</v>
      </c>
      <c r="O228">
        <v>0</v>
      </c>
      <c r="P228">
        <v>1</v>
      </c>
      <c r="Q228" t="s">
        <v>7</v>
      </c>
    </row>
    <row r="229" spans="1:22">
      <c r="A229" t="s">
        <v>754</v>
      </c>
      <c r="B229" t="s">
        <v>962</v>
      </c>
      <c r="C229">
        <v>0</v>
      </c>
      <c r="D229" t="s">
        <v>756</v>
      </c>
      <c r="E229" t="s">
        <v>977</v>
      </c>
      <c r="F229" t="s">
        <v>968</v>
      </c>
      <c r="G229" t="s">
        <v>962</v>
      </c>
      <c r="H229">
        <v>1.988</v>
      </c>
      <c r="K229">
        <v>108449039</v>
      </c>
      <c r="L229" s="2">
        <v>46106</v>
      </c>
      <c r="M229">
        <v>21</v>
      </c>
      <c r="N229">
        <v>1</v>
      </c>
      <c r="O229">
        <v>8</v>
      </c>
      <c r="P229">
        <v>1</v>
      </c>
      <c r="Q229" t="s">
        <v>7</v>
      </c>
      <c r="R229">
        <v>35.177729999999997</v>
      </c>
      <c r="S229">
        <v>-79.434629999999999</v>
      </c>
      <c r="T229" t="s">
        <v>761</v>
      </c>
      <c r="U229" t="s">
        <v>367</v>
      </c>
      <c r="V229">
        <v>0.37809999999999999</v>
      </c>
    </row>
    <row r="230" spans="1:22">
      <c r="A230" t="s">
        <v>1021</v>
      </c>
      <c r="B230" t="s">
        <v>962</v>
      </c>
      <c r="C230">
        <v>0</v>
      </c>
      <c r="E230" t="s">
        <v>977</v>
      </c>
      <c r="F230" t="s">
        <v>968</v>
      </c>
      <c r="G230" t="s">
        <v>962</v>
      </c>
      <c r="H230">
        <v>1.988</v>
      </c>
      <c r="K230">
        <v>105144806</v>
      </c>
      <c r="L230" s="2">
        <v>42912</v>
      </c>
      <c r="M230">
        <v>24</v>
      </c>
      <c r="N230">
        <v>1</v>
      </c>
      <c r="O230">
        <v>8</v>
      </c>
      <c r="P230">
        <v>1</v>
      </c>
      <c r="Q230" t="s">
        <v>7</v>
      </c>
    </row>
    <row r="231" spans="1:22">
      <c r="A231" t="s">
        <v>754</v>
      </c>
      <c r="B231" t="s">
        <v>962</v>
      </c>
      <c r="C231">
        <v>0</v>
      </c>
      <c r="E231" t="s">
        <v>977</v>
      </c>
      <c r="F231" t="s">
        <v>968</v>
      </c>
      <c r="G231" t="s">
        <v>962</v>
      </c>
      <c r="H231">
        <v>1.988</v>
      </c>
      <c r="K231">
        <v>106445335</v>
      </c>
      <c r="L231" s="2">
        <v>44183</v>
      </c>
      <c r="M231">
        <v>26</v>
      </c>
      <c r="N231">
        <v>1</v>
      </c>
      <c r="O231">
        <v>8</v>
      </c>
      <c r="P231">
        <v>1</v>
      </c>
      <c r="Q231" t="s">
        <v>7</v>
      </c>
    </row>
    <row r="232" spans="1:22">
      <c r="A232" t="s">
        <v>754</v>
      </c>
      <c r="B232" t="s">
        <v>962</v>
      </c>
      <c r="C232">
        <v>0</v>
      </c>
      <c r="E232" t="s">
        <v>977</v>
      </c>
      <c r="F232" t="s">
        <v>1080</v>
      </c>
      <c r="G232" t="s">
        <v>962</v>
      </c>
      <c r="H232">
        <v>1.988</v>
      </c>
      <c r="K232">
        <v>105336826</v>
      </c>
      <c r="L232" s="2">
        <v>43083</v>
      </c>
      <c r="M232">
        <v>21</v>
      </c>
      <c r="N232">
        <v>1</v>
      </c>
      <c r="O232">
        <v>0</v>
      </c>
      <c r="P232">
        <v>1</v>
      </c>
      <c r="Q232" t="s">
        <v>7</v>
      </c>
    </row>
    <row r="233" spans="1:22">
      <c r="A233" t="s">
        <v>754</v>
      </c>
      <c r="B233" t="s">
        <v>962</v>
      </c>
      <c r="C233">
        <v>0</v>
      </c>
      <c r="E233" t="s">
        <v>977</v>
      </c>
      <c r="G233" t="s">
        <v>962</v>
      </c>
      <c r="H233">
        <v>1.988</v>
      </c>
      <c r="K233">
        <v>105292761</v>
      </c>
      <c r="L233" s="2">
        <v>43053</v>
      </c>
      <c r="M233">
        <v>24</v>
      </c>
      <c r="N233">
        <v>1</v>
      </c>
      <c r="O233">
        <v>8</v>
      </c>
      <c r="P233">
        <v>1</v>
      </c>
      <c r="Q233" t="s">
        <v>7</v>
      </c>
    </row>
    <row r="234" spans="1:22">
      <c r="A234" t="s">
        <v>754</v>
      </c>
      <c r="B234" t="s">
        <v>962</v>
      </c>
      <c r="C234">
        <v>0.2</v>
      </c>
      <c r="D234" t="s">
        <v>758</v>
      </c>
      <c r="E234" t="s">
        <v>968</v>
      </c>
      <c r="F234" t="s">
        <v>975</v>
      </c>
      <c r="G234" t="s">
        <v>962</v>
      </c>
      <c r="H234">
        <v>1.992</v>
      </c>
      <c r="K234">
        <v>107985825</v>
      </c>
      <c r="L234" s="2">
        <v>45665</v>
      </c>
      <c r="M234">
        <v>21</v>
      </c>
      <c r="N234">
        <v>1</v>
      </c>
      <c r="O234">
        <v>0</v>
      </c>
      <c r="P234">
        <v>1</v>
      </c>
      <c r="Q234" t="s">
        <v>7</v>
      </c>
      <c r="R234">
        <v>35.176903000000003</v>
      </c>
      <c r="S234">
        <v>-79.434989999999999</v>
      </c>
      <c r="T234" t="s">
        <v>761</v>
      </c>
      <c r="U234" t="s">
        <v>367</v>
      </c>
      <c r="V234">
        <v>0.40699999999999997</v>
      </c>
    </row>
    <row r="235" spans="1:22">
      <c r="A235" t="s">
        <v>754</v>
      </c>
      <c r="B235" t="s">
        <v>962</v>
      </c>
      <c r="C235">
        <v>0.2</v>
      </c>
      <c r="D235" t="s">
        <v>758</v>
      </c>
      <c r="E235" t="s">
        <v>968</v>
      </c>
      <c r="F235" t="s">
        <v>969</v>
      </c>
      <c r="G235" t="s">
        <v>962</v>
      </c>
      <c r="H235">
        <v>1.992</v>
      </c>
      <c r="K235">
        <v>107982530</v>
      </c>
      <c r="L235" s="2">
        <v>45664</v>
      </c>
      <c r="M235">
        <v>28</v>
      </c>
      <c r="N235">
        <v>1</v>
      </c>
      <c r="O235">
        <v>0</v>
      </c>
      <c r="P235">
        <v>1</v>
      </c>
      <c r="Q235" t="s">
        <v>3</v>
      </c>
      <c r="R235">
        <v>35.176963999999998</v>
      </c>
      <c r="S235">
        <v>-79.434920000000005</v>
      </c>
      <c r="T235" t="s">
        <v>761</v>
      </c>
      <c r="U235" t="s">
        <v>367</v>
      </c>
      <c r="V235">
        <v>0.4022</v>
      </c>
    </row>
    <row r="236" spans="1:22">
      <c r="A236" t="s">
        <v>754</v>
      </c>
      <c r="B236" t="s">
        <v>962</v>
      </c>
      <c r="C236">
        <v>0.2</v>
      </c>
      <c r="D236" t="s">
        <v>758</v>
      </c>
      <c r="E236" t="s">
        <v>968</v>
      </c>
      <c r="F236" t="s">
        <v>973</v>
      </c>
      <c r="G236" t="s">
        <v>962</v>
      </c>
      <c r="H236">
        <v>1.992</v>
      </c>
      <c r="K236">
        <v>106422881</v>
      </c>
      <c r="L236" s="2">
        <v>44159</v>
      </c>
      <c r="M236">
        <v>21</v>
      </c>
      <c r="N236">
        <v>1</v>
      </c>
      <c r="O236">
        <v>4</v>
      </c>
      <c r="P236">
        <v>1</v>
      </c>
      <c r="Q236" t="s">
        <v>8</v>
      </c>
    </row>
    <row r="237" spans="1:22">
      <c r="A237" t="s">
        <v>1021</v>
      </c>
      <c r="B237" t="s">
        <v>965</v>
      </c>
      <c r="C237">
        <v>0.1</v>
      </c>
      <c r="E237" t="s">
        <v>975</v>
      </c>
      <c r="F237" t="s">
        <v>977</v>
      </c>
      <c r="G237" t="s">
        <v>962</v>
      </c>
      <c r="H237">
        <v>2.0019999999999998</v>
      </c>
      <c r="I237" t="s">
        <v>61</v>
      </c>
      <c r="K237">
        <v>105950177</v>
      </c>
      <c r="L237" s="2">
        <v>43671</v>
      </c>
      <c r="M237">
        <v>21</v>
      </c>
      <c r="N237">
        <v>1</v>
      </c>
      <c r="O237">
        <v>0</v>
      </c>
      <c r="P237">
        <v>1</v>
      </c>
      <c r="Q237" t="s">
        <v>7</v>
      </c>
    </row>
    <row r="238" spans="1:22">
      <c r="A238" t="s">
        <v>754</v>
      </c>
      <c r="B238" t="s">
        <v>962</v>
      </c>
      <c r="C238">
        <v>0.19</v>
      </c>
      <c r="D238" t="s">
        <v>758</v>
      </c>
      <c r="E238" t="s">
        <v>968</v>
      </c>
      <c r="F238" t="s">
        <v>975</v>
      </c>
      <c r="G238" t="s">
        <v>962</v>
      </c>
      <c r="H238">
        <v>2.0019999999999998</v>
      </c>
      <c r="K238">
        <v>108530662</v>
      </c>
      <c r="L238" s="2">
        <v>46185</v>
      </c>
      <c r="M238">
        <v>21</v>
      </c>
      <c r="N238">
        <v>1</v>
      </c>
      <c r="O238">
        <v>0</v>
      </c>
      <c r="P238">
        <v>1</v>
      </c>
      <c r="Q238" t="s">
        <v>7</v>
      </c>
      <c r="R238">
        <v>35.176990000000004</v>
      </c>
      <c r="S238">
        <v>-79.434970000000007</v>
      </c>
      <c r="T238" t="s">
        <v>755</v>
      </c>
      <c r="U238" t="s">
        <v>367</v>
      </c>
      <c r="V238">
        <v>0.40460000000000002</v>
      </c>
    </row>
    <row r="239" spans="1:22">
      <c r="A239" t="s">
        <v>1021</v>
      </c>
      <c r="B239" t="s">
        <v>965</v>
      </c>
      <c r="C239">
        <v>4.7E-2</v>
      </c>
      <c r="D239" t="s">
        <v>756</v>
      </c>
      <c r="E239" t="s">
        <v>977</v>
      </c>
      <c r="F239" t="s">
        <v>1082</v>
      </c>
      <c r="G239" t="s">
        <v>962</v>
      </c>
      <c r="H239">
        <v>2.0350000000000001</v>
      </c>
      <c r="K239">
        <v>105312008</v>
      </c>
      <c r="L239" s="2">
        <v>43066</v>
      </c>
      <c r="M239">
        <v>1</v>
      </c>
      <c r="N239">
        <v>1</v>
      </c>
      <c r="O239">
        <v>0</v>
      </c>
      <c r="P239">
        <v>1</v>
      </c>
      <c r="Q239" t="s">
        <v>7</v>
      </c>
    </row>
    <row r="240" spans="1:22">
      <c r="A240" t="s">
        <v>1021</v>
      </c>
      <c r="B240" t="s">
        <v>965</v>
      </c>
      <c r="C240">
        <v>0.1</v>
      </c>
      <c r="D240" t="s">
        <v>758</v>
      </c>
      <c r="E240" t="s">
        <v>968</v>
      </c>
      <c r="F240" t="s">
        <v>977</v>
      </c>
      <c r="G240" t="s">
        <v>962</v>
      </c>
      <c r="H240">
        <v>2.0920000000000001</v>
      </c>
      <c r="K240">
        <v>105505253</v>
      </c>
      <c r="L240" s="2">
        <v>43250</v>
      </c>
      <c r="M240">
        <v>28</v>
      </c>
      <c r="N240">
        <v>1</v>
      </c>
      <c r="O240">
        <v>25</v>
      </c>
      <c r="P240">
        <v>1</v>
      </c>
      <c r="Q240" t="s">
        <v>7</v>
      </c>
    </row>
    <row r="241" spans="1:23">
      <c r="A241" t="s">
        <v>1021</v>
      </c>
      <c r="B241" t="s">
        <v>962</v>
      </c>
      <c r="C241">
        <v>0.1</v>
      </c>
      <c r="D241" t="s">
        <v>758</v>
      </c>
      <c r="E241" t="s">
        <v>968</v>
      </c>
      <c r="F241" t="s">
        <v>975</v>
      </c>
      <c r="G241" t="s">
        <v>962</v>
      </c>
      <c r="H241">
        <v>2.0920000000000001</v>
      </c>
      <c r="K241">
        <v>105749191</v>
      </c>
      <c r="L241" s="2">
        <v>43484</v>
      </c>
      <c r="M241">
        <v>17</v>
      </c>
      <c r="N241">
        <v>1</v>
      </c>
      <c r="O241">
        <v>0</v>
      </c>
      <c r="P241">
        <v>1</v>
      </c>
      <c r="Q241" t="s">
        <v>7</v>
      </c>
    </row>
    <row r="242" spans="1:23">
      <c r="A242" t="s">
        <v>754</v>
      </c>
      <c r="B242" t="s">
        <v>962</v>
      </c>
      <c r="C242">
        <v>0.1</v>
      </c>
      <c r="D242" t="s">
        <v>758</v>
      </c>
      <c r="E242" t="s">
        <v>968</v>
      </c>
      <c r="F242" t="s">
        <v>975</v>
      </c>
      <c r="G242" t="s">
        <v>962</v>
      </c>
      <c r="H242">
        <v>2.0920000000000001</v>
      </c>
      <c r="K242">
        <v>108524655</v>
      </c>
      <c r="L242" s="2">
        <v>46181</v>
      </c>
      <c r="M242">
        <v>18</v>
      </c>
      <c r="N242">
        <v>1</v>
      </c>
      <c r="O242">
        <v>0</v>
      </c>
      <c r="P242">
        <v>1</v>
      </c>
      <c r="Q242" t="s">
        <v>7</v>
      </c>
      <c r="R242">
        <v>35.177050000000001</v>
      </c>
      <c r="S242">
        <v>-79.435509999999994</v>
      </c>
      <c r="T242" t="s">
        <v>755</v>
      </c>
      <c r="U242" t="s">
        <v>367</v>
      </c>
      <c r="V242">
        <v>0.43369999999999997</v>
      </c>
    </row>
    <row r="243" spans="1:23">
      <c r="A243" t="s">
        <v>754</v>
      </c>
      <c r="B243" t="s">
        <v>962</v>
      </c>
      <c r="C243">
        <v>0.1</v>
      </c>
      <c r="D243" t="s">
        <v>758</v>
      </c>
      <c r="E243" t="s">
        <v>968</v>
      </c>
      <c r="F243" t="s">
        <v>973</v>
      </c>
      <c r="G243" t="s">
        <v>962</v>
      </c>
      <c r="H243">
        <v>2.0920000000000001</v>
      </c>
      <c r="K243">
        <v>105832375</v>
      </c>
      <c r="L243" s="2">
        <v>43566</v>
      </c>
      <c r="M243">
        <v>21</v>
      </c>
      <c r="N243">
        <v>1</v>
      </c>
      <c r="O243">
        <v>0</v>
      </c>
      <c r="P243">
        <v>1</v>
      </c>
      <c r="Q243" t="s">
        <v>3</v>
      </c>
    </row>
    <row r="244" spans="1:23">
      <c r="A244" t="s">
        <v>970</v>
      </c>
      <c r="B244" t="s">
        <v>962</v>
      </c>
      <c r="C244">
        <v>0.1</v>
      </c>
      <c r="D244" t="s">
        <v>758</v>
      </c>
      <c r="E244" t="s">
        <v>968</v>
      </c>
      <c r="F244" t="s">
        <v>973</v>
      </c>
      <c r="G244" t="s">
        <v>962</v>
      </c>
      <c r="H244">
        <v>2.0920000000000001</v>
      </c>
      <c r="K244">
        <v>106889355</v>
      </c>
      <c r="L244" s="2">
        <v>44625</v>
      </c>
      <c r="M244">
        <v>21</v>
      </c>
      <c r="N244">
        <v>1</v>
      </c>
      <c r="O244">
        <v>0</v>
      </c>
      <c r="P244">
        <v>1</v>
      </c>
      <c r="Q244" t="s">
        <v>7</v>
      </c>
    </row>
    <row r="245" spans="1:23">
      <c r="A245" t="s">
        <v>754</v>
      </c>
      <c r="B245" t="s">
        <v>962</v>
      </c>
      <c r="C245">
        <v>0.1</v>
      </c>
      <c r="D245" t="s">
        <v>758</v>
      </c>
      <c r="E245" t="s">
        <v>968</v>
      </c>
      <c r="F245" t="s">
        <v>973</v>
      </c>
      <c r="G245" t="s">
        <v>962</v>
      </c>
      <c r="H245">
        <v>2.0920000000000001</v>
      </c>
      <c r="K245">
        <v>108547757</v>
      </c>
      <c r="L245" s="2">
        <v>46204</v>
      </c>
      <c r="M245">
        <v>21</v>
      </c>
      <c r="N245">
        <v>1</v>
      </c>
      <c r="O245">
        <v>0</v>
      </c>
      <c r="P245">
        <v>1</v>
      </c>
      <c r="Q245" t="s">
        <v>7</v>
      </c>
      <c r="R245">
        <v>35.17689</v>
      </c>
      <c r="S245">
        <v>-79.435019999999994</v>
      </c>
      <c r="T245" t="s">
        <v>755</v>
      </c>
      <c r="U245" t="s">
        <v>367</v>
      </c>
      <c r="V245">
        <v>0.4088</v>
      </c>
    </row>
    <row r="246" spans="1:23">
      <c r="A246" t="s">
        <v>754</v>
      </c>
      <c r="B246" t="s">
        <v>962</v>
      </c>
      <c r="C246">
        <v>0.1</v>
      </c>
      <c r="D246" t="s">
        <v>758</v>
      </c>
      <c r="E246" t="s">
        <v>968</v>
      </c>
      <c r="F246" t="s">
        <v>973</v>
      </c>
      <c r="G246" t="s">
        <v>962</v>
      </c>
      <c r="H246">
        <v>2.0920000000000001</v>
      </c>
      <c r="K246">
        <v>107667833</v>
      </c>
      <c r="L246" s="2">
        <v>45375</v>
      </c>
      <c r="M246">
        <v>28</v>
      </c>
      <c r="N246">
        <v>1</v>
      </c>
      <c r="O246">
        <v>0</v>
      </c>
      <c r="P246">
        <v>1</v>
      </c>
      <c r="Q246" t="s">
        <v>7</v>
      </c>
      <c r="R246">
        <v>35.176699999999997</v>
      </c>
      <c r="S246">
        <v>-79.440010000000001</v>
      </c>
      <c r="T246" t="s">
        <v>761</v>
      </c>
      <c r="U246" t="s">
        <v>367</v>
      </c>
      <c r="V246">
        <v>0.68840000000000001</v>
      </c>
    </row>
    <row r="247" spans="1:23">
      <c r="A247" t="s">
        <v>754</v>
      </c>
      <c r="B247" t="s">
        <v>962</v>
      </c>
      <c r="C247">
        <v>9.5000000000000001E-2</v>
      </c>
      <c r="D247" t="s">
        <v>758</v>
      </c>
      <c r="E247" t="s">
        <v>968</v>
      </c>
      <c r="F247" t="s">
        <v>973</v>
      </c>
      <c r="G247" t="s">
        <v>962</v>
      </c>
      <c r="H247">
        <v>2.097</v>
      </c>
      <c r="K247">
        <v>107542817</v>
      </c>
      <c r="L247" s="2">
        <v>45257</v>
      </c>
      <c r="M247">
        <v>28</v>
      </c>
      <c r="N247">
        <v>1</v>
      </c>
      <c r="O247">
        <v>0</v>
      </c>
      <c r="P247">
        <v>1</v>
      </c>
      <c r="Q247" t="s">
        <v>7</v>
      </c>
      <c r="R247">
        <v>35.177100000000003</v>
      </c>
      <c r="S247">
        <v>-79.433030000000002</v>
      </c>
      <c r="T247" t="s">
        <v>761</v>
      </c>
      <c r="U247" t="s">
        <v>367</v>
      </c>
      <c r="V247">
        <v>0.29620000000000002</v>
      </c>
    </row>
    <row r="248" spans="1:23">
      <c r="A248" t="s">
        <v>1021</v>
      </c>
      <c r="B248" t="s">
        <v>965</v>
      </c>
      <c r="C248">
        <v>9.4E-2</v>
      </c>
      <c r="D248" t="s">
        <v>764</v>
      </c>
      <c r="E248" t="s">
        <v>968</v>
      </c>
      <c r="F248" t="s">
        <v>967</v>
      </c>
      <c r="G248" t="s">
        <v>962</v>
      </c>
      <c r="H248">
        <v>2.0979999999999999</v>
      </c>
      <c r="J248" t="s">
        <v>1208</v>
      </c>
      <c r="K248">
        <v>107487781</v>
      </c>
      <c r="L248" s="2">
        <v>45211</v>
      </c>
      <c r="M248">
        <v>30</v>
      </c>
      <c r="N248">
        <v>1</v>
      </c>
      <c r="O248">
        <v>8</v>
      </c>
      <c r="P248">
        <v>4</v>
      </c>
      <c r="Q248" t="s">
        <v>7</v>
      </c>
      <c r="W248" t="s">
        <v>1347</v>
      </c>
    </row>
    <row r="249" spans="1:23">
      <c r="A249" t="s">
        <v>1021</v>
      </c>
      <c r="B249" t="s">
        <v>965</v>
      </c>
      <c r="C249">
        <v>7.5999999999999998E-2</v>
      </c>
      <c r="D249" t="s">
        <v>764</v>
      </c>
      <c r="E249" t="s">
        <v>968</v>
      </c>
      <c r="F249" t="s">
        <v>963</v>
      </c>
      <c r="G249" t="s">
        <v>962</v>
      </c>
      <c r="H249">
        <v>2.1160000000000001</v>
      </c>
      <c r="J249" t="s">
        <v>1208</v>
      </c>
      <c r="K249">
        <v>108188729</v>
      </c>
      <c r="L249" s="2">
        <v>45869</v>
      </c>
      <c r="M249">
        <v>24</v>
      </c>
      <c r="N249">
        <v>1</v>
      </c>
      <c r="O249">
        <v>12</v>
      </c>
      <c r="P249">
        <v>1</v>
      </c>
      <c r="Q249" t="s">
        <v>7</v>
      </c>
      <c r="W249" t="s">
        <v>1347</v>
      </c>
    </row>
    <row r="250" spans="1:23">
      <c r="A250" t="s">
        <v>1021</v>
      </c>
      <c r="B250" t="s">
        <v>965</v>
      </c>
      <c r="C250">
        <v>5.7000000000000002E-2</v>
      </c>
      <c r="D250" t="s">
        <v>764</v>
      </c>
      <c r="E250" t="s">
        <v>968</v>
      </c>
      <c r="F250" t="s">
        <v>967</v>
      </c>
      <c r="G250" t="s">
        <v>962</v>
      </c>
      <c r="H250">
        <v>2.1349999999999998</v>
      </c>
      <c r="J250" t="s">
        <v>1208</v>
      </c>
      <c r="K250">
        <v>107946257</v>
      </c>
      <c r="L250" s="2">
        <v>45631</v>
      </c>
      <c r="M250">
        <v>21</v>
      </c>
      <c r="N250">
        <v>1</v>
      </c>
      <c r="O250">
        <v>7</v>
      </c>
      <c r="P250">
        <v>4</v>
      </c>
      <c r="Q250" t="s">
        <v>3</v>
      </c>
      <c r="W250" t="s">
        <v>885</v>
      </c>
    </row>
    <row r="251" spans="1:23">
      <c r="A251" t="s">
        <v>1021</v>
      </c>
      <c r="B251" t="s">
        <v>965</v>
      </c>
      <c r="C251">
        <v>5.7000000000000002E-2</v>
      </c>
      <c r="D251" t="s">
        <v>764</v>
      </c>
      <c r="E251" t="s">
        <v>968</v>
      </c>
      <c r="F251" t="s">
        <v>967</v>
      </c>
      <c r="G251" t="s">
        <v>962</v>
      </c>
      <c r="H251">
        <v>2.1349999999999998</v>
      </c>
      <c r="J251" t="s">
        <v>1208</v>
      </c>
      <c r="K251">
        <v>108546965</v>
      </c>
      <c r="L251" s="2">
        <v>46204</v>
      </c>
      <c r="M251">
        <v>25</v>
      </c>
      <c r="N251">
        <v>1</v>
      </c>
      <c r="O251">
        <v>0</v>
      </c>
      <c r="P251">
        <v>1</v>
      </c>
      <c r="Q251" t="s">
        <v>7</v>
      </c>
      <c r="W251" t="s">
        <v>1347</v>
      </c>
    </row>
    <row r="252" spans="1:23">
      <c r="A252" t="s">
        <v>1021</v>
      </c>
      <c r="B252" t="s">
        <v>965</v>
      </c>
      <c r="C252">
        <v>0.05</v>
      </c>
      <c r="D252" t="s">
        <v>764</v>
      </c>
      <c r="E252" t="s">
        <v>968</v>
      </c>
      <c r="F252" t="s">
        <v>967</v>
      </c>
      <c r="G252" t="s">
        <v>962</v>
      </c>
      <c r="H252">
        <v>2.1419999999999999</v>
      </c>
      <c r="J252" t="s">
        <v>1208</v>
      </c>
      <c r="K252">
        <v>108401704</v>
      </c>
      <c r="L252" s="2">
        <v>46067</v>
      </c>
      <c r="M252">
        <v>28</v>
      </c>
      <c r="N252">
        <v>1</v>
      </c>
      <c r="O252">
        <v>0</v>
      </c>
      <c r="P252">
        <v>1</v>
      </c>
      <c r="Q252" t="s">
        <v>7</v>
      </c>
      <c r="W252" t="s">
        <v>885</v>
      </c>
    </row>
    <row r="253" spans="1:23">
      <c r="A253" t="s">
        <v>1021</v>
      </c>
      <c r="B253" t="s">
        <v>965</v>
      </c>
      <c r="C253">
        <v>0.25</v>
      </c>
      <c r="D253" t="s">
        <v>758</v>
      </c>
      <c r="E253" t="s">
        <v>967</v>
      </c>
      <c r="F253" t="s">
        <v>968</v>
      </c>
      <c r="G253" t="s">
        <v>962</v>
      </c>
      <c r="H253">
        <v>2.153</v>
      </c>
      <c r="J253" t="s">
        <v>1208</v>
      </c>
      <c r="K253">
        <v>106802099</v>
      </c>
      <c r="L253" s="2">
        <v>44377</v>
      </c>
      <c r="M253">
        <v>22</v>
      </c>
      <c r="N253">
        <v>1</v>
      </c>
      <c r="O253">
        <v>0</v>
      </c>
      <c r="P253">
        <v>1</v>
      </c>
      <c r="Q253" t="s">
        <v>7</v>
      </c>
      <c r="W253" t="s">
        <v>1348</v>
      </c>
    </row>
    <row r="254" spans="1:23">
      <c r="A254" t="s">
        <v>1021</v>
      </c>
      <c r="B254" t="s">
        <v>965</v>
      </c>
      <c r="C254">
        <v>2.5000000000000001E-2</v>
      </c>
      <c r="D254" t="s">
        <v>763</v>
      </c>
      <c r="E254" t="s">
        <v>968</v>
      </c>
      <c r="F254" t="s">
        <v>977</v>
      </c>
      <c r="G254" t="s">
        <v>962</v>
      </c>
      <c r="H254">
        <v>2.1669999999999998</v>
      </c>
      <c r="K254">
        <v>108446727</v>
      </c>
      <c r="L254" s="2">
        <v>46107</v>
      </c>
      <c r="M254">
        <v>21</v>
      </c>
      <c r="N254">
        <v>1</v>
      </c>
      <c r="O254">
        <v>0</v>
      </c>
      <c r="P254">
        <v>1</v>
      </c>
      <c r="Q254" t="s">
        <v>7</v>
      </c>
    </row>
    <row r="255" spans="1:23">
      <c r="A255" t="s">
        <v>1021</v>
      </c>
      <c r="B255" t="s">
        <v>965</v>
      </c>
      <c r="C255">
        <v>1.9E-2</v>
      </c>
      <c r="D255" t="s">
        <v>758</v>
      </c>
      <c r="E255" t="s">
        <v>968</v>
      </c>
      <c r="F255" t="s">
        <v>986</v>
      </c>
      <c r="G255" t="s">
        <v>962</v>
      </c>
      <c r="H255">
        <v>2.173</v>
      </c>
      <c r="K255">
        <v>108426283</v>
      </c>
      <c r="L255" s="2">
        <v>46091</v>
      </c>
      <c r="M255">
        <v>21</v>
      </c>
      <c r="N255">
        <v>1</v>
      </c>
      <c r="O255">
        <v>0</v>
      </c>
      <c r="P255">
        <v>1</v>
      </c>
      <c r="Q255" t="s">
        <v>7</v>
      </c>
    </row>
    <row r="256" spans="1:23">
      <c r="A256" t="s">
        <v>1021</v>
      </c>
      <c r="B256" t="s">
        <v>965</v>
      </c>
      <c r="C256">
        <v>1.9E-2</v>
      </c>
      <c r="D256" t="s">
        <v>764</v>
      </c>
      <c r="E256" t="s">
        <v>968</v>
      </c>
      <c r="F256" t="s">
        <v>967</v>
      </c>
      <c r="G256" t="s">
        <v>962</v>
      </c>
      <c r="H256">
        <v>2.173</v>
      </c>
      <c r="J256" t="s">
        <v>1208</v>
      </c>
      <c r="K256">
        <v>108060397</v>
      </c>
      <c r="L256" s="2">
        <v>45743</v>
      </c>
      <c r="M256">
        <v>21</v>
      </c>
      <c r="N256">
        <v>1</v>
      </c>
      <c r="O256">
        <v>7</v>
      </c>
      <c r="P256">
        <v>1</v>
      </c>
      <c r="Q256" t="s">
        <v>7</v>
      </c>
      <c r="W256" t="s">
        <v>885</v>
      </c>
    </row>
    <row r="257" spans="1:23">
      <c r="A257" t="s">
        <v>754</v>
      </c>
      <c r="B257" t="s">
        <v>962</v>
      </c>
      <c r="C257">
        <v>1.9E-2</v>
      </c>
      <c r="D257" t="s">
        <v>758</v>
      </c>
      <c r="E257" t="s">
        <v>968</v>
      </c>
      <c r="F257" t="s">
        <v>975</v>
      </c>
      <c r="G257" t="s">
        <v>962</v>
      </c>
      <c r="H257">
        <v>2.173</v>
      </c>
      <c r="K257">
        <v>108567110</v>
      </c>
      <c r="L257" s="2">
        <v>46223</v>
      </c>
      <c r="M257">
        <v>21</v>
      </c>
      <c r="N257">
        <v>1</v>
      </c>
      <c r="O257">
        <v>0</v>
      </c>
      <c r="P257">
        <v>1</v>
      </c>
      <c r="Q257" t="s">
        <v>7</v>
      </c>
      <c r="R257">
        <v>35.177309999999999</v>
      </c>
      <c r="S257">
        <v>-79.431690000000003</v>
      </c>
      <c r="T257" t="s">
        <v>755</v>
      </c>
      <c r="U257" t="s">
        <v>367</v>
      </c>
      <c r="V257">
        <v>0.21940000000000001</v>
      </c>
    </row>
    <row r="258" spans="1:23">
      <c r="A258" t="s">
        <v>1021</v>
      </c>
      <c r="B258" t="s">
        <v>965</v>
      </c>
      <c r="C258">
        <v>0.224</v>
      </c>
      <c r="D258" t="s">
        <v>758</v>
      </c>
      <c r="E258" t="s">
        <v>967</v>
      </c>
      <c r="F258" t="s">
        <v>968</v>
      </c>
      <c r="G258" t="s">
        <v>962</v>
      </c>
      <c r="H258">
        <v>2.1789999999999998</v>
      </c>
      <c r="J258" t="s">
        <v>1208</v>
      </c>
      <c r="K258">
        <v>106937847</v>
      </c>
      <c r="L258" s="2">
        <v>44680</v>
      </c>
      <c r="M258">
        <v>21</v>
      </c>
      <c r="N258">
        <v>1</v>
      </c>
      <c r="O258">
        <v>0</v>
      </c>
      <c r="P258">
        <v>1</v>
      </c>
      <c r="Q258" t="s">
        <v>7</v>
      </c>
      <c r="W258" t="s">
        <v>1348</v>
      </c>
    </row>
    <row r="259" spans="1:23">
      <c r="A259" t="s">
        <v>1021</v>
      </c>
      <c r="B259" t="s">
        <v>965</v>
      </c>
      <c r="C259">
        <v>1.2999999999999999E-2</v>
      </c>
      <c r="D259" t="s">
        <v>764</v>
      </c>
      <c r="E259" t="s">
        <v>968</v>
      </c>
      <c r="F259" t="s">
        <v>967</v>
      </c>
      <c r="G259" t="s">
        <v>962</v>
      </c>
      <c r="H259">
        <v>2.1789999999999998</v>
      </c>
      <c r="J259" t="s">
        <v>1208</v>
      </c>
      <c r="K259">
        <v>107923709</v>
      </c>
      <c r="L259" s="2">
        <v>45613</v>
      </c>
      <c r="M259">
        <v>21</v>
      </c>
      <c r="N259">
        <v>1</v>
      </c>
      <c r="O259">
        <v>7</v>
      </c>
      <c r="P259">
        <v>1</v>
      </c>
      <c r="Q259" t="s">
        <v>7</v>
      </c>
      <c r="W259" t="s">
        <v>885</v>
      </c>
    </row>
    <row r="260" spans="1:23">
      <c r="A260" t="s">
        <v>1021</v>
      </c>
      <c r="B260" t="s">
        <v>965</v>
      </c>
      <c r="C260">
        <v>1.2E-2</v>
      </c>
      <c r="D260" t="s">
        <v>758</v>
      </c>
      <c r="E260" t="s">
        <v>968</v>
      </c>
      <c r="F260" t="s">
        <v>977</v>
      </c>
      <c r="G260" t="s">
        <v>962</v>
      </c>
      <c r="H260">
        <v>2.1800000000000002</v>
      </c>
      <c r="K260">
        <v>105792459</v>
      </c>
      <c r="L260" s="2">
        <v>43514</v>
      </c>
      <c r="M260">
        <v>21</v>
      </c>
      <c r="N260">
        <v>1</v>
      </c>
      <c r="O260">
        <v>7</v>
      </c>
      <c r="P260">
        <v>1</v>
      </c>
      <c r="Q260" t="s">
        <v>7</v>
      </c>
    </row>
    <row r="261" spans="1:23">
      <c r="A261" t="s">
        <v>1021</v>
      </c>
      <c r="B261" t="s">
        <v>965</v>
      </c>
      <c r="C261">
        <v>0.22</v>
      </c>
      <c r="D261" t="s">
        <v>758</v>
      </c>
      <c r="E261" t="s">
        <v>967</v>
      </c>
      <c r="F261" t="s">
        <v>968</v>
      </c>
      <c r="G261" t="s">
        <v>962</v>
      </c>
      <c r="H261">
        <v>2.1829999999999998</v>
      </c>
      <c r="J261" t="s">
        <v>1208</v>
      </c>
      <c r="K261">
        <v>107207040</v>
      </c>
      <c r="L261" s="2">
        <v>44935</v>
      </c>
      <c r="M261">
        <v>24</v>
      </c>
      <c r="N261">
        <v>1</v>
      </c>
      <c r="O261">
        <v>0</v>
      </c>
      <c r="P261">
        <v>1</v>
      </c>
      <c r="Q261" t="s">
        <v>3</v>
      </c>
      <c r="W261" t="s">
        <v>1347</v>
      </c>
    </row>
    <row r="262" spans="1:23">
      <c r="A262" t="s">
        <v>1021</v>
      </c>
      <c r="B262" t="s">
        <v>965</v>
      </c>
      <c r="C262">
        <v>8.9999999999999993E-3</v>
      </c>
      <c r="D262" t="s">
        <v>764</v>
      </c>
      <c r="E262" t="s">
        <v>968</v>
      </c>
      <c r="F262" t="s">
        <v>1190</v>
      </c>
      <c r="G262" t="s">
        <v>962</v>
      </c>
      <c r="H262">
        <v>2.1829999999999998</v>
      </c>
      <c r="J262" t="s">
        <v>1208</v>
      </c>
      <c r="K262">
        <v>108273803</v>
      </c>
      <c r="L262" s="2">
        <v>45952</v>
      </c>
      <c r="M262">
        <v>21</v>
      </c>
      <c r="N262">
        <v>1</v>
      </c>
      <c r="O262">
        <v>12</v>
      </c>
      <c r="P262">
        <v>1</v>
      </c>
      <c r="Q262" t="s">
        <v>7</v>
      </c>
      <c r="W262" t="s">
        <v>885</v>
      </c>
    </row>
    <row r="263" spans="1:23">
      <c r="A263" t="s">
        <v>1021</v>
      </c>
      <c r="B263" t="s">
        <v>965</v>
      </c>
      <c r="C263">
        <v>8.9999999999999993E-3</v>
      </c>
      <c r="D263" t="s">
        <v>758</v>
      </c>
      <c r="E263" t="s">
        <v>968</v>
      </c>
      <c r="F263" t="s">
        <v>986</v>
      </c>
      <c r="G263" t="s">
        <v>962</v>
      </c>
      <c r="H263">
        <v>2.1829999999999998</v>
      </c>
      <c r="K263">
        <v>107629118</v>
      </c>
      <c r="L263" s="2">
        <v>45342</v>
      </c>
      <c r="M263">
        <v>21</v>
      </c>
      <c r="N263">
        <v>1</v>
      </c>
      <c r="O263">
        <v>7</v>
      </c>
      <c r="P263">
        <v>1</v>
      </c>
      <c r="Q263" t="s">
        <v>7</v>
      </c>
    </row>
    <row r="264" spans="1:23">
      <c r="A264" t="s">
        <v>1021</v>
      </c>
      <c r="B264" t="s">
        <v>965</v>
      </c>
      <c r="C264">
        <v>8.9999999999999993E-3</v>
      </c>
      <c r="D264" t="s">
        <v>758</v>
      </c>
      <c r="E264" t="s">
        <v>968</v>
      </c>
      <c r="F264" t="s">
        <v>977</v>
      </c>
      <c r="G264" t="s">
        <v>962</v>
      </c>
      <c r="H264">
        <v>2.1829999999999998</v>
      </c>
      <c r="K264">
        <v>107402785</v>
      </c>
      <c r="L264" s="2">
        <v>45128</v>
      </c>
      <c r="M264">
        <v>23</v>
      </c>
      <c r="N264">
        <v>1</v>
      </c>
      <c r="O264">
        <v>0</v>
      </c>
      <c r="P264">
        <v>1</v>
      </c>
      <c r="Q264" t="s">
        <v>7</v>
      </c>
    </row>
    <row r="265" spans="1:23">
      <c r="A265" t="s">
        <v>1021</v>
      </c>
      <c r="B265" t="s">
        <v>962</v>
      </c>
      <c r="C265">
        <v>7.0000000000000001E-3</v>
      </c>
      <c r="D265" t="s">
        <v>758</v>
      </c>
      <c r="E265" t="s">
        <v>968</v>
      </c>
      <c r="F265" t="s">
        <v>1024</v>
      </c>
      <c r="G265" t="s">
        <v>962</v>
      </c>
      <c r="H265">
        <v>2.1850000000000001</v>
      </c>
      <c r="K265">
        <v>108034686</v>
      </c>
      <c r="L265" s="2">
        <v>45707</v>
      </c>
      <c r="M265">
        <v>19</v>
      </c>
      <c r="N265">
        <v>6</v>
      </c>
      <c r="O265">
        <v>0</v>
      </c>
      <c r="P265">
        <v>1</v>
      </c>
      <c r="Q265" t="s">
        <v>3</v>
      </c>
      <c r="R265">
        <v>35.177199999999999</v>
      </c>
      <c r="S265">
        <v>-79.431799999999996</v>
      </c>
      <c r="T265" t="s">
        <v>761</v>
      </c>
      <c r="U265" t="s">
        <v>367</v>
      </c>
      <c r="V265">
        <v>0.22750000000000001</v>
      </c>
    </row>
    <row r="266" spans="1:23">
      <c r="A266" t="s">
        <v>1021</v>
      </c>
      <c r="B266" t="s">
        <v>962</v>
      </c>
      <c r="C266">
        <v>6.0000000000000001E-3</v>
      </c>
      <c r="D266" t="s">
        <v>758</v>
      </c>
      <c r="E266" t="s">
        <v>968</v>
      </c>
      <c r="F266" t="s">
        <v>986</v>
      </c>
      <c r="G266" t="s">
        <v>962</v>
      </c>
      <c r="H266">
        <v>2.1859999999999999</v>
      </c>
      <c r="K266">
        <v>107654956</v>
      </c>
      <c r="L266" s="2">
        <v>45363</v>
      </c>
      <c r="M266">
        <v>28</v>
      </c>
      <c r="N266">
        <v>1</v>
      </c>
      <c r="O266">
        <v>0</v>
      </c>
      <c r="P266">
        <v>1</v>
      </c>
      <c r="Q266" t="s">
        <v>7</v>
      </c>
      <c r="R266">
        <v>35.177266000000003</v>
      </c>
      <c r="S266">
        <v>-79.432550000000006</v>
      </c>
      <c r="T266" t="s">
        <v>761</v>
      </c>
      <c r="U266" t="s">
        <v>367</v>
      </c>
      <c r="V266">
        <v>0.2671</v>
      </c>
    </row>
    <row r="267" spans="1:23">
      <c r="A267" t="s">
        <v>1021</v>
      </c>
      <c r="B267" t="s">
        <v>965</v>
      </c>
      <c r="C267">
        <v>5.0000000000000001E-3</v>
      </c>
      <c r="D267" t="s">
        <v>758</v>
      </c>
      <c r="E267" t="s">
        <v>968</v>
      </c>
      <c r="G267" t="s">
        <v>962</v>
      </c>
      <c r="H267">
        <v>2.1869999999999998</v>
      </c>
      <c r="K267">
        <v>107438194</v>
      </c>
      <c r="L267" s="2">
        <v>45166</v>
      </c>
      <c r="M267">
        <v>22</v>
      </c>
      <c r="N267">
        <v>2</v>
      </c>
      <c r="O267">
        <v>0</v>
      </c>
      <c r="P267">
        <v>1</v>
      </c>
      <c r="Q267" t="s">
        <v>7</v>
      </c>
    </row>
    <row r="268" spans="1:23">
      <c r="A268" t="s">
        <v>1021</v>
      </c>
      <c r="B268" t="s">
        <v>962</v>
      </c>
      <c r="C268">
        <v>5.0000000000000001E-3</v>
      </c>
      <c r="D268" t="s">
        <v>758</v>
      </c>
      <c r="E268" t="s">
        <v>968</v>
      </c>
      <c r="F268" t="s">
        <v>977</v>
      </c>
      <c r="G268" t="s">
        <v>962</v>
      </c>
      <c r="H268">
        <v>2.1869999999999998</v>
      </c>
      <c r="K268">
        <v>107134309</v>
      </c>
      <c r="L268" s="2">
        <v>44867</v>
      </c>
      <c r="M268">
        <v>21</v>
      </c>
      <c r="N268">
        <v>1</v>
      </c>
      <c r="O268">
        <v>7</v>
      </c>
      <c r="P268">
        <v>1</v>
      </c>
      <c r="Q268" t="s">
        <v>3</v>
      </c>
    </row>
    <row r="269" spans="1:23">
      <c r="A269" t="s">
        <v>1021</v>
      </c>
      <c r="B269" t="s">
        <v>965</v>
      </c>
      <c r="C269">
        <v>4.0000000000000001E-3</v>
      </c>
      <c r="D269" t="s">
        <v>758</v>
      </c>
      <c r="E269" t="s">
        <v>968</v>
      </c>
      <c r="F269" t="s">
        <v>986</v>
      </c>
      <c r="G269" t="s">
        <v>962</v>
      </c>
      <c r="H269">
        <v>2.1880000000000002</v>
      </c>
      <c r="K269">
        <v>106843451</v>
      </c>
      <c r="L269" s="2">
        <v>44587</v>
      </c>
      <c r="M269">
        <v>28</v>
      </c>
      <c r="N269">
        <v>1</v>
      </c>
      <c r="O269">
        <v>0</v>
      </c>
      <c r="P269">
        <v>1</v>
      </c>
      <c r="Q269" t="s">
        <v>7</v>
      </c>
    </row>
    <row r="270" spans="1:23">
      <c r="A270" t="s">
        <v>1021</v>
      </c>
      <c r="B270" t="s">
        <v>965</v>
      </c>
      <c r="C270">
        <v>4.0000000000000001E-3</v>
      </c>
      <c r="D270" t="s">
        <v>758</v>
      </c>
      <c r="E270" t="s">
        <v>968</v>
      </c>
      <c r="F270" t="s">
        <v>967</v>
      </c>
      <c r="G270" t="s">
        <v>962</v>
      </c>
      <c r="H270">
        <v>2.1880000000000002</v>
      </c>
      <c r="J270" t="s">
        <v>1208</v>
      </c>
      <c r="K270">
        <v>105240096</v>
      </c>
      <c r="L270" s="2">
        <v>42995</v>
      </c>
      <c r="M270">
        <v>22</v>
      </c>
      <c r="N270">
        <v>1</v>
      </c>
      <c r="O270">
        <v>0</v>
      </c>
      <c r="P270">
        <v>1</v>
      </c>
      <c r="Q270" t="s">
        <v>7</v>
      </c>
      <c r="W270" t="s">
        <v>885</v>
      </c>
    </row>
    <row r="271" spans="1:23">
      <c r="A271" t="s">
        <v>1021</v>
      </c>
      <c r="B271" t="s">
        <v>965</v>
      </c>
      <c r="C271">
        <v>4.0000000000000001E-3</v>
      </c>
      <c r="D271" t="s">
        <v>758</v>
      </c>
      <c r="E271" t="s">
        <v>968</v>
      </c>
      <c r="F271" t="s">
        <v>977</v>
      </c>
      <c r="G271" t="s">
        <v>962</v>
      </c>
      <c r="H271">
        <v>2.1880000000000002</v>
      </c>
      <c r="K271">
        <v>105377027</v>
      </c>
      <c r="L271" s="2">
        <v>43120</v>
      </c>
      <c r="M271">
        <v>21</v>
      </c>
      <c r="N271">
        <v>4</v>
      </c>
      <c r="O271">
        <v>7</v>
      </c>
      <c r="P271">
        <v>1</v>
      </c>
      <c r="Q271" t="s">
        <v>7</v>
      </c>
    </row>
    <row r="272" spans="1:23">
      <c r="A272" t="s">
        <v>754</v>
      </c>
      <c r="B272" t="s">
        <v>962</v>
      </c>
      <c r="C272">
        <v>0.2</v>
      </c>
      <c r="D272" t="s">
        <v>756</v>
      </c>
      <c r="E272" t="s">
        <v>977</v>
      </c>
      <c r="F272" t="s">
        <v>1080</v>
      </c>
      <c r="G272" t="s">
        <v>962</v>
      </c>
      <c r="H272">
        <v>2.1880000000000002</v>
      </c>
      <c r="K272">
        <v>106144525</v>
      </c>
      <c r="L272" s="2">
        <v>43858</v>
      </c>
      <c r="M272">
        <v>31</v>
      </c>
      <c r="N272">
        <v>1</v>
      </c>
      <c r="O272">
        <v>12</v>
      </c>
      <c r="P272">
        <v>1</v>
      </c>
      <c r="Q272" t="s">
        <v>7</v>
      </c>
    </row>
    <row r="273" spans="1:23">
      <c r="A273" t="s">
        <v>754</v>
      </c>
      <c r="B273" t="s">
        <v>962</v>
      </c>
      <c r="C273">
        <v>2E-3</v>
      </c>
      <c r="D273" t="s">
        <v>758</v>
      </c>
      <c r="E273" t="s">
        <v>968</v>
      </c>
      <c r="F273" t="s">
        <v>973</v>
      </c>
      <c r="G273" t="s">
        <v>962</v>
      </c>
      <c r="H273">
        <v>2.19</v>
      </c>
      <c r="K273">
        <v>106678935</v>
      </c>
      <c r="L273" s="2">
        <v>44432</v>
      </c>
      <c r="M273">
        <v>21</v>
      </c>
      <c r="N273">
        <v>1</v>
      </c>
      <c r="O273">
        <v>12</v>
      </c>
      <c r="P273">
        <v>1</v>
      </c>
      <c r="Q273" t="s">
        <v>3</v>
      </c>
    </row>
    <row r="274" spans="1:23">
      <c r="A274" t="s">
        <v>754</v>
      </c>
      <c r="B274" t="s">
        <v>962</v>
      </c>
      <c r="C274">
        <v>2E-3</v>
      </c>
      <c r="D274" t="s">
        <v>758</v>
      </c>
      <c r="E274" t="s">
        <v>968</v>
      </c>
      <c r="F274" t="s">
        <v>973</v>
      </c>
      <c r="G274" t="s">
        <v>962</v>
      </c>
      <c r="H274">
        <v>2.19</v>
      </c>
      <c r="K274">
        <v>106997868</v>
      </c>
      <c r="L274" s="2">
        <v>44736</v>
      </c>
      <c r="M274">
        <v>21</v>
      </c>
      <c r="N274">
        <v>1</v>
      </c>
      <c r="O274">
        <v>12</v>
      </c>
      <c r="P274">
        <v>1</v>
      </c>
      <c r="Q274" t="s">
        <v>7</v>
      </c>
    </row>
    <row r="275" spans="1:23">
      <c r="A275" t="s">
        <v>1021</v>
      </c>
      <c r="B275" t="s">
        <v>965</v>
      </c>
      <c r="C275">
        <v>1E-3</v>
      </c>
      <c r="D275" t="s">
        <v>764</v>
      </c>
      <c r="E275" t="s">
        <v>968</v>
      </c>
      <c r="F275" t="s">
        <v>1182</v>
      </c>
      <c r="G275" t="s">
        <v>962</v>
      </c>
      <c r="H275">
        <v>2.1909999999999998</v>
      </c>
      <c r="J275" t="s">
        <v>1208</v>
      </c>
      <c r="K275">
        <v>107925452</v>
      </c>
      <c r="L275" s="2">
        <v>45614</v>
      </c>
      <c r="M275">
        <v>21</v>
      </c>
      <c r="N275">
        <v>1</v>
      </c>
      <c r="O275">
        <v>7</v>
      </c>
      <c r="P275">
        <v>1</v>
      </c>
      <c r="Q275" t="s">
        <v>7</v>
      </c>
      <c r="W275" t="s">
        <v>885</v>
      </c>
    </row>
    <row r="276" spans="1:23">
      <c r="A276" t="s">
        <v>1021</v>
      </c>
      <c r="B276" t="s">
        <v>965</v>
      </c>
      <c r="C276">
        <v>0</v>
      </c>
      <c r="E276" t="s">
        <v>968</v>
      </c>
      <c r="F276" t="s">
        <v>1144</v>
      </c>
      <c r="G276" t="s">
        <v>962</v>
      </c>
      <c r="H276">
        <v>2.1920000000000002</v>
      </c>
      <c r="K276">
        <v>106874915</v>
      </c>
      <c r="L276" s="2">
        <v>44620</v>
      </c>
      <c r="M276">
        <v>21</v>
      </c>
      <c r="N276">
        <v>1</v>
      </c>
      <c r="O276">
        <v>7</v>
      </c>
      <c r="P276">
        <v>1</v>
      </c>
      <c r="Q276" t="s">
        <v>7</v>
      </c>
    </row>
    <row r="277" spans="1:23">
      <c r="A277" t="s">
        <v>1021</v>
      </c>
      <c r="B277" t="s">
        <v>965</v>
      </c>
      <c r="C277">
        <v>0</v>
      </c>
      <c r="E277" t="s">
        <v>968</v>
      </c>
      <c r="F277" t="s">
        <v>986</v>
      </c>
      <c r="G277" t="s">
        <v>962</v>
      </c>
      <c r="H277">
        <v>2.1920000000000002</v>
      </c>
      <c r="K277">
        <v>106530154</v>
      </c>
      <c r="L277" s="2">
        <v>44244</v>
      </c>
      <c r="M277">
        <v>21</v>
      </c>
      <c r="N277">
        <v>1</v>
      </c>
      <c r="P277">
        <v>1</v>
      </c>
      <c r="Q277" t="s">
        <v>7</v>
      </c>
    </row>
    <row r="278" spans="1:23">
      <c r="A278" t="s">
        <v>1021</v>
      </c>
      <c r="B278" t="s">
        <v>965</v>
      </c>
      <c r="C278">
        <v>0</v>
      </c>
      <c r="E278" t="s">
        <v>968</v>
      </c>
      <c r="F278" t="s">
        <v>986</v>
      </c>
      <c r="G278" t="s">
        <v>962</v>
      </c>
      <c r="H278">
        <v>2.1920000000000002</v>
      </c>
      <c r="K278">
        <v>106802263</v>
      </c>
      <c r="L278" s="2">
        <v>44468</v>
      </c>
      <c r="M278">
        <v>21</v>
      </c>
      <c r="N278">
        <v>1</v>
      </c>
      <c r="O278">
        <v>7</v>
      </c>
      <c r="P278">
        <v>1</v>
      </c>
      <c r="Q278" t="s">
        <v>7</v>
      </c>
    </row>
    <row r="279" spans="1:23">
      <c r="A279" t="s">
        <v>1021</v>
      </c>
      <c r="B279" t="s">
        <v>965</v>
      </c>
      <c r="C279">
        <v>0</v>
      </c>
      <c r="D279" t="s">
        <v>758</v>
      </c>
      <c r="E279" t="s">
        <v>968</v>
      </c>
      <c r="F279" t="s">
        <v>986</v>
      </c>
      <c r="G279" t="s">
        <v>962</v>
      </c>
      <c r="H279">
        <v>2.1920000000000002</v>
      </c>
      <c r="K279">
        <v>106840907</v>
      </c>
      <c r="L279" s="2">
        <v>44585</v>
      </c>
      <c r="M279">
        <v>21</v>
      </c>
      <c r="N279">
        <v>1</v>
      </c>
      <c r="O279">
        <v>7</v>
      </c>
      <c r="P279">
        <v>1</v>
      </c>
      <c r="Q279" t="s">
        <v>7</v>
      </c>
    </row>
    <row r="280" spans="1:23">
      <c r="A280" t="s">
        <v>1021</v>
      </c>
      <c r="B280" t="s">
        <v>965</v>
      </c>
      <c r="C280">
        <v>0</v>
      </c>
      <c r="D280" t="s">
        <v>765</v>
      </c>
      <c r="E280" t="s">
        <v>968</v>
      </c>
      <c r="F280" t="s">
        <v>986</v>
      </c>
      <c r="G280" t="s">
        <v>962</v>
      </c>
      <c r="H280">
        <v>2.1920000000000002</v>
      </c>
      <c r="K280">
        <v>107601223</v>
      </c>
      <c r="L280" s="2">
        <v>45313</v>
      </c>
      <c r="M280">
        <v>21</v>
      </c>
      <c r="N280">
        <v>1</v>
      </c>
      <c r="O280">
        <v>7</v>
      </c>
      <c r="P280">
        <v>4</v>
      </c>
      <c r="Q280" t="s">
        <v>7</v>
      </c>
    </row>
    <row r="281" spans="1:23">
      <c r="A281" t="s">
        <v>1021</v>
      </c>
      <c r="B281" t="s">
        <v>965</v>
      </c>
      <c r="C281">
        <v>0</v>
      </c>
      <c r="E281" t="s">
        <v>968</v>
      </c>
      <c r="F281" t="s">
        <v>986</v>
      </c>
      <c r="G281" t="s">
        <v>962</v>
      </c>
      <c r="H281">
        <v>2.1920000000000002</v>
      </c>
      <c r="K281">
        <v>107580675</v>
      </c>
      <c r="L281" s="2">
        <v>45291</v>
      </c>
      <c r="M281">
        <v>21</v>
      </c>
      <c r="N281">
        <v>1</v>
      </c>
      <c r="O281">
        <v>0</v>
      </c>
      <c r="P281">
        <v>4</v>
      </c>
      <c r="Q281" t="s">
        <v>7</v>
      </c>
    </row>
    <row r="282" spans="1:23">
      <c r="A282" t="s">
        <v>1021</v>
      </c>
      <c r="B282" t="s">
        <v>965</v>
      </c>
      <c r="C282">
        <v>0</v>
      </c>
      <c r="E282" t="s">
        <v>968</v>
      </c>
      <c r="F282" t="s">
        <v>986</v>
      </c>
      <c r="G282" t="s">
        <v>962</v>
      </c>
      <c r="H282">
        <v>2.1920000000000002</v>
      </c>
      <c r="K282">
        <v>108586880</v>
      </c>
      <c r="L282" s="2">
        <v>46245</v>
      </c>
      <c r="M282">
        <v>21</v>
      </c>
      <c r="N282">
        <v>1</v>
      </c>
      <c r="O282">
        <v>8</v>
      </c>
      <c r="P282">
        <v>1</v>
      </c>
      <c r="Q282" t="s">
        <v>7</v>
      </c>
    </row>
    <row r="283" spans="1:23">
      <c r="A283" t="s">
        <v>1021</v>
      </c>
      <c r="B283" t="s">
        <v>965</v>
      </c>
      <c r="C283">
        <v>0</v>
      </c>
      <c r="E283" t="s">
        <v>968</v>
      </c>
      <c r="F283" t="s">
        <v>1116</v>
      </c>
      <c r="G283" t="s">
        <v>962</v>
      </c>
      <c r="H283">
        <v>2.1920000000000002</v>
      </c>
      <c r="K283">
        <v>106064266</v>
      </c>
      <c r="L283" s="2">
        <v>43763</v>
      </c>
      <c r="M283">
        <v>21</v>
      </c>
      <c r="N283">
        <v>1</v>
      </c>
      <c r="O283">
        <v>7</v>
      </c>
      <c r="P283">
        <v>1</v>
      </c>
      <c r="Q283" t="s">
        <v>7</v>
      </c>
    </row>
    <row r="284" spans="1:23">
      <c r="A284" t="s">
        <v>1021</v>
      </c>
      <c r="B284" t="s">
        <v>965</v>
      </c>
      <c r="C284">
        <v>0</v>
      </c>
      <c r="E284" t="s">
        <v>968</v>
      </c>
      <c r="F284" t="s">
        <v>963</v>
      </c>
      <c r="G284" t="s">
        <v>962</v>
      </c>
      <c r="H284">
        <v>2.1920000000000002</v>
      </c>
      <c r="J284" t="s">
        <v>1208</v>
      </c>
      <c r="K284">
        <v>107804499</v>
      </c>
      <c r="L284" s="2">
        <v>45505</v>
      </c>
      <c r="M284">
        <v>21</v>
      </c>
      <c r="N284">
        <v>1</v>
      </c>
      <c r="O284">
        <v>7</v>
      </c>
      <c r="P284">
        <v>1</v>
      </c>
      <c r="Q284" t="s">
        <v>3</v>
      </c>
      <c r="W284" t="s">
        <v>885</v>
      </c>
    </row>
    <row r="285" spans="1:23">
      <c r="A285" t="s">
        <v>1021</v>
      </c>
      <c r="B285" t="s">
        <v>965</v>
      </c>
      <c r="C285">
        <v>0</v>
      </c>
      <c r="E285" t="s">
        <v>968</v>
      </c>
      <c r="F285" t="s">
        <v>963</v>
      </c>
      <c r="G285" t="s">
        <v>962</v>
      </c>
      <c r="H285">
        <v>2.1920000000000002</v>
      </c>
      <c r="J285" t="s">
        <v>1208</v>
      </c>
      <c r="K285">
        <v>107281990</v>
      </c>
      <c r="L285" s="2">
        <v>45010</v>
      </c>
      <c r="M285">
        <v>21</v>
      </c>
      <c r="N285">
        <v>2</v>
      </c>
      <c r="O285">
        <v>7</v>
      </c>
      <c r="P285">
        <v>1</v>
      </c>
      <c r="Q285" t="s">
        <v>3</v>
      </c>
      <c r="W285" t="s">
        <v>885</v>
      </c>
    </row>
    <row r="286" spans="1:23">
      <c r="A286" t="s">
        <v>1021</v>
      </c>
      <c r="B286" t="s">
        <v>965</v>
      </c>
      <c r="C286">
        <v>0</v>
      </c>
      <c r="E286" t="s">
        <v>968</v>
      </c>
      <c r="F286" t="s">
        <v>963</v>
      </c>
      <c r="G286" t="s">
        <v>962</v>
      </c>
      <c r="H286">
        <v>2.1920000000000002</v>
      </c>
      <c r="J286" t="s">
        <v>1208</v>
      </c>
      <c r="K286">
        <v>108009769</v>
      </c>
      <c r="L286" s="2">
        <v>45692</v>
      </c>
      <c r="M286">
        <v>21</v>
      </c>
      <c r="N286">
        <v>1</v>
      </c>
      <c r="O286">
        <v>7</v>
      </c>
      <c r="P286">
        <v>1</v>
      </c>
      <c r="Q286" t="s">
        <v>7</v>
      </c>
      <c r="W286" t="s">
        <v>885</v>
      </c>
    </row>
    <row r="287" spans="1:23">
      <c r="A287" t="s">
        <v>1021</v>
      </c>
      <c r="B287" t="s">
        <v>965</v>
      </c>
      <c r="C287">
        <v>0</v>
      </c>
      <c r="D287" t="s">
        <v>756</v>
      </c>
      <c r="E287" t="s">
        <v>968</v>
      </c>
      <c r="F287" t="s">
        <v>963</v>
      </c>
      <c r="G287" t="s">
        <v>962</v>
      </c>
      <c r="H287">
        <v>2.1920000000000002</v>
      </c>
      <c r="J287" t="s">
        <v>1208</v>
      </c>
      <c r="K287">
        <v>105329619</v>
      </c>
      <c r="L287" s="2">
        <v>43078</v>
      </c>
      <c r="M287">
        <v>24</v>
      </c>
      <c r="N287">
        <v>2</v>
      </c>
      <c r="O287">
        <v>4</v>
      </c>
      <c r="P287">
        <v>1</v>
      </c>
      <c r="Q287" t="s">
        <v>7</v>
      </c>
      <c r="W287" t="s">
        <v>1347</v>
      </c>
    </row>
    <row r="288" spans="1:23">
      <c r="A288" t="s">
        <v>1021</v>
      </c>
      <c r="B288" t="s">
        <v>965</v>
      </c>
      <c r="C288">
        <v>0</v>
      </c>
      <c r="D288" t="s">
        <v>763</v>
      </c>
      <c r="E288" t="s">
        <v>968</v>
      </c>
      <c r="F288" t="s">
        <v>1023</v>
      </c>
      <c r="G288" t="s">
        <v>962</v>
      </c>
      <c r="H288">
        <v>2.1920000000000002</v>
      </c>
      <c r="K288">
        <v>107712132</v>
      </c>
      <c r="L288" s="2">
        <v>45420</v>
      </c>
      <c r="M288">
        <v>22</v>
      </c>
      <c r="N288">
        <v>1</v>
      </c>
      <c r="O288">
        <v>0</v>
      </c>
      <c r="P288">
        <v>1</v>
      </c>
      <c r="Q288" t="s">
        <v>7</v>
      </c>
    </row>
    <row r="289" spans="1:23">
      <c r="A289" t="s">
        <v>1021</v>
      </c>
      <c r="B289" t="s">
        <v>965</v>
      </c>
      <c r="C289">
        <v>0</v>
      </c>
      <c r="E289" t="s">
        <v>968</v>
      </c>
      <c r="F289" t="s">
        <v>1023</v>
      </c>
      <c r="G289" t="s">
        <v>962</v>
      </c>
      <c r="H289">
        <v>2.1920000000000002</v>
      </c>
      <c r="K289">
        <v>107845488</v>
      </c>
      <c r="L289" s="2">
        <v>45545</v>
      </c>
      <c r="M289">
        <v>26</v>
      </c>
      <c r="N289">
        <v>1</v>
      </c>
      <c r="O289">
        <v>7</v>
      </c>
      <c r="P289">
        <v>1</v>
      </c>
      <c r="Q289" t="s">
        <v>7</v>
      </c>
    </row>
    <row r="290" spans="1:23">
      <c r="A290" t="s">
        <v>1021</v>
      </c>
      <c r="B290" t="s">
        <v>965</v>
      </c>
      <c r="C290">
        <v>0</v>
      </c>
      <c r="E290" t="s">
        <v>968</v>
      </c>
      <c r="F290" t="s">
        <v>967</v>
      </c>
      <c r="G290" t="s">
        <v>962</v>
      </c>
      <c r="H290">
        <v>2.1920000000000002</v>
      </c>
      <c r="J290" t="s">
        <v>1208</v>
      </c>
      <c r="K290">
        <v>107579959</v>
      </c>
      <c r="L290" s="2">
        <v>45290</v>
      </c>
      <c r="M290">
        <v>21</v>
      </c>
      <c r="N290">
        <v>1</v>
      </c>
      <c r="O290">
        <v>7</v>
      </c>
      <c r="P290">
        <v>5</v>
      </c>
      <c r="Q290" t="s">
        <v>7</v>
      </c>
      <c r="W290" t="s">
        <v>885</v>
      </c>
    </row>
    <row r="291" spans="1:23">
      <c r="A291" t="s">
        <v>1021</v>
      </c>
      <c r="B291" t="s">
        <v>965</v>
      </c>
      <c r="C291">
        <v>0</v>
      </c>
      <c r="E291" t="s">
        <v>968</v>
      </c>
      <c r="F291" t="s">
        <v>967</v>
      </c>
      <c r="G291" t="s">
        <v>962</v>
      </c>
      <c r="H291">
        <v>2.1920000000000002</v>
      </c>
      <c r="J291" t="s">
        <v>1208</v>
      </c>
      <c r="K291">
        <v>107935083</v>
      </c>
      <c r="L291" s="2">
        <v>45615</v>
      </c>
      <c r="M291">
        <v>21</v>
      </c>
      <c r="N291">
        <v>1</v>
      </c>
      <c r="O291">
        <v>0</v>
      </c>
      <c r="P291">
        <v>4</v>
      </c>
      <c r="Q291" t="s">
        <v>7</v>
      </c>
      <c r="W291" t="s">
        <v>885</v>
      </c>
    </row>
    <row r="292" spans="1:23">
      <c r="A292" t="s">
        <v>1021</v>
      </c>
      <c r="B292" t="s">
        <v>965</v>
      </c>
      <c r="C292">
        <v>0</v>
      </c>
      <c r="E292" t="s">
        <v>968</v>
      </c>
      <c r="F292" t="s">
        <v>967</v>
      </c>
      <c r="G292" t="s">
        <v>962</v>
      </c>
      <c r="H292">
        <v>2.1920000000000002</v>
      </c>
      <c r="J292" t="s">
        <v>1208</v>
      </c>
      <c r="K292">
        <v>108258243</v>
      </c>
      <c r="L292" s="2">
        <v>45939</v>
      </c>
      <c r="M292">
        <v>21</v>
      </c>
      <c r="N292">
        <v>1</v>
      </c>
      <c r="O292">
        <v>7</v>
      </c>
      <c r="P292">
        <v>3</v>
      </c>
      <c r="Q292" t="s">
        <v>7</v>
      </c>
      <c r="W292" t="s">
        <v>885</v>
      </c>
    </row>
    <row r="293" spans="1:23">
      <c r="A293" t="s">
        <v>1021</v>
      </c>
      <c r="B293" t="s">
        <v>965</v>
      </c>
      <c r="C293">
        <v>0</v>
      </c>
      <c r="D293" t="s">
        <v>756</v>
      </c>
      <c r="E293" t="s">
        <v>968</v>
      </c>
      <c r="F293" t="s">
        <v>967</v>
      </c>
      <c r="G293" t="s">
        <v>962</v>
      </c>
      <c r="H293">
        <v>2.1920000000000002</v>
      </c>
      <c r="J293" t="s">
        <v>1208</v>
      </c>
      <c r="K293">
        <v>108154686</v>
      </c>
      <c r="L293" s="2">
        <v>45834</v>
      </c>
      <c r="M293">
        <v>26</v>
      </c>
      <c r="N293">
        <v>1</v>
      </c>
      <c r="O293">
        <v>0</v>
      </c>
      <c r="P293">
        <v>1</v>
      </c>
      <c r="Q293" t="s">
        <v>7</v>
      </c>
      <c r="W293" t="s">
        <v>885</v>
      </c>
    </row>
    <row r="294" spans="1:23">
      <c r="A294" t="s">
        <v>1021</v>
      </c>
      <c r="B294" t="s">
        <v>965</v>
      </c>
      <c r="C294">
        <v>0</v>
      </c>
      <c r="E294" t="s">
        <v>968</v>
      </c>
      <c r="F294" t="s">
        <v>967</v>
      </c>
      <c r="G294" t="s">
        <v>962</v>
      </c>
      <c r="H294">
        <v>2.1920000000000002</v>
      </c>
      <c r="J294" t="s">
        <v>1208</v>
      </c>
      <c r="K294">
        <v>105591487</v>
      </c>
      <c r="L294" s="2">
        <v>43343</v>
      </c>
      <c r="M294">
        <v>29</v>
      </c>
      <c r="N294">
        <v>1</v>
      </c>
      <c r="O294">
        <v>7</v>
      </c>
      <c r="P294">
        <v>1</v>
      </c>
      <c r="Q294" t="s">
        <v>7</v>
      </c>
      <c r="W294" t="s">
        <v>885</v>
      </c>
    </row>
    <row r="295" spans="1:23">
      <c r="A295" t="s">
        <v>1021</v>
      </c>
      <c r="B295" t="s">
        <v>965</v>
      </c>
      <c r="C295">
        <v>0</v>
      </c>
      <c r="D295" t="s">
        <v>757</v>
      </c>
      <c r="E295" t="s">
        <v>968</v>
      </c>
      <c r="F295" t="s">
        <v>967</v>
      </c>
      <c r="G295" t="s">
        <v>962</v>
      </c>
      <c r="H295">
        <v>2.1920000000000002</v>
      </c>
      <c r="J295" t="s">
        <v>1208</v>
      </c>
      <c r="K295">
        <v>108406685</v>
      </c>
      <c r="L295" s="2">
        <v>46071</v>
      </c>
      <c r="M295">
        <v>30</v>
      </c>
      <c r="N295">
        <v>1</v>
      </c>
      <c r="O295">
        <v>7</v>
      </c>
      <c r="P295">
        <v>1</v>
      </c>
      <c r="Q295" t="s">
        <v>7</v>
      </c>
      <c r="W295" t="s">
        <v>885</v>
      </c>
    </row>
    <row r="296" spans="1:23">
      <c r="A296" t="s">
        <v>1021</v>
      </c>
      <c r="B296" t="s">
        <v>965</v>
      </c>
      <c r="C296">
        <v>0</v>
      </c>
      <c r="D296" t="s">
        <v>757</v>
      </c>
      <c r="E296" t="s">
        <v>968</v>
      </c>
      <c r="F296" t="s">
        <v>965</v>
      </c>
      <c r="G296" t="s">
        <v>962</v>
      </c>
      <c r="H296">
        <v>2.1920000000000002</v>
      </c>
      <c r="K296">
        <v>108430686</v>
      </c>
      <c r="L296" s="2">
        <v>46095</v>
      </c>
      <c r="M296">
        <v>21</v>
      </c>
      <c r="N296">
        <v>1</v>
      </c>
      <c r="O296">
        <v>7</v>
      </c>
      <c r="P296">
        <v>1</v>
      </c>
      <c r="Q296" t="s">
        <v>7</v>
      </c>
    </row>
    <row r="297" spans="1:23">
      <c r="A297" t="s">
        <v>1021</v>
      </c>
      <c r="B297" t="s">
        <v>965</v>
      </c>
      <c r="C297">
        <v>0</v>
      </c>
      <c r="E297" t="s">
        <v>968</v>
      </c>
      <c r="F297" t="s">
        <v>1108</v>
      </c>
      <c r="G297" t="s">
        <v>962</v>
      </c>
      <c r="H297">
        <v>2.1920000000000002</v>
      </c>
      <c r="K297">
        <v>105861773</v>
      </c>
      <c r="L297" s="2">
        <v>43593</v>
      </c>
      <c r="M297">
        <v>21</v>
      </c>
      <c r="N297">
        <v>1</v>
      </c>
      <c r="O297">
        <v>0</v>
      </c>
      <c r="P297">
        <v>1</v>
      </c>
      <c r="Q297" t="s">
        <v>7</v>
      </c>
    </row>
    <row r="298" spans="1:23">
      <c r="A298" t="s">
        <v>1021</v>
      </c>
      <c r="B298" t="s">
        <v>965</v>
      </c>
      <c r="C298">
        <v>0</v>
      </c>
      <c r="E298" t="s">
        <v>968</v>
      </c>
      <c r="F298" t="s">
        <v>977</v>
      </c>
      <c r="G298" t="s">
        <v>962</v>
      </c>
      <c r="H298">
        <v>2.1920000000000002</v>
      </c>
      <c r="K298">
        <v>107201553</v>
      </c>
      <c r="L298" s="2">
        <v>44905</v>
      </c>
      <c r="M298">
        <v>21</v>
      </c>
      <c r="N298">
        <v>1</v>
      </c>
      <c r="O298">
        <v>0</v>
      </c>
      <c r="P298">
        <v>1</v>
      </c>
      <c r="Q298" t="s">
        <v>7</v>
      </c>
    </row>
    <row r="299" spans="1:23">
      <c r="A299" t="s">
        <v>1021</v>
      </c>
      <c r="B299" t="s">
        <v>965</v>
      </c>
      <c r="C299">
        <v>0</v>
      </c>
      <c r="E299" t="s">
        <v>968</v>
      </c>
      <c r="F299" t="s">
        <v>977</v>
      </c>
      <c r="G299" t="s">
        <v>962</v>
      </c>
      <c r="H299">
        <v>2.1920000000000002</v>
      </c>
      <c r="K299">
        <v>105125303</v>
      </c>
      <c r="L299" s="2">
        <v>42871</v>
      </c>
      <c r="M299">
        <v>21</v>
      </c>
      <c r="N299">
        <v>1</v>
      </c>
      <c r="O299">
        <v>7</v>
      </c>
      <c r="P299">
        <v>1</v>
      </c>
      <c r="Q299" t="s">
        <v>7</v>
      </c>
    </row>
    <row r="300" spans="1:23">
      <c r="A300" t="s">
        <v>1021</v>
      </c>
      <c r="B300" t="s">
        <v>965</v>
      </c>
      <c r="C300">
        <v>0</v>
      </c>
      <c r="E300" t="s">
        <v>968</v>
      </c>
      <c r="F300" t="s">
        <v>977</v>
      </c>
      <c r="G300" t="s">
        <v>962</v>
      </c>
      <c r="H300">
        <v>2.1920000000000002</v>
      </c>
      <c r="K300">
        <v>105107771</v>
      </c>
      <c r="L300" s="2">
        <v>42854</v>
      </c>
      <c r="M300">
        <v>21</v>
      </c>
      <c r="N300">
        <v>1</v>
      </c>
      <c r="O300">
        <v>7</v>
      </c>
      <c r="P300">
        <v>1</v>
      </c>
      <c r="Q300" t="s">
        <v>7</v>
      </c>
    </row>
    <row r="301" spans="1:23">
      <c r="A301" t="s">
        <v>1021</v>
      </c>
      <c r="B301" t="s">
        <v>965</v>
      </c>
      <c r="C301">
        <v>0</v>
      </c>
      <c r="D301" t="s">
        <v>758</v>
      </c>
      <c r="E301" t="s">
        <v>968</v>
      </c>
      <c r="F301" t="s">
        <v>977</v>
      </c>
      <c r="G301" t="s">
        <v>962</v>
      </c>
      <c r="H301">
        <v>2.1920000000000002</v>
      </c>
      <c r="K301">
        <v>105792454</v>
      </c>
      <c r="L301" s="2">
        <v>43510</v>
      </c>
      <c r="M301">
        <v>21</v>
      </c>
      <c r="N301">
        <v>1</v>
      </c>
      <c r="O301">
        <v>7</v>
      </c>
      <c r="P301">
        <v>1</v>
      </c>
      <c r="Q301" t="s">
        <v>7</v>
      </c>
    </row>
    <row r="302" spans="1:23">
      <c r="A302" t="s">
        <v>1021</v>
      </c>
      <c r="B302" t="s">
        <v>965</v>
      </c>
      <c r="C302">
        <v>0</v>
      </c>
      <c r="E302" t="s">
        <v>968</v>
      </c>
      <c r="F302" t="s">
        <v>977</v>
      </c>
      <c r="G302" t="s">
        <v>962</v>
      </c>
      <c r="H302">
        <v>2.1920000000000002</v>
      </c>
      <c r="K302">
        <v>106308161</v>
      </c>
      <c r="L302" s="2">
        <v>44001</v>
      </c>
      <c r="M302">
        <v>21</v>
      </c>
      <c r="N302">
        <v>1</v>
      </c>
      <c r="O302">
        <v>7</v>
      </c>
      <c r="P302">
        <v>2</v>
      </c>
      <c r="Q302" t="s">
        <v>7</v>
      </c>
    </row>
    <row r="303" spans="1:23">
      <c r="A303" t="s">
        <v>1021</v>
      </c>
      <c r="B303" t="s">
        <v>965</v>
      </c>
      <c r="C303">
        <v>0</v>
      </c>
      <c r="E303" t="s">
        <v>968</v>
      </c>
      <c r="F303" t="s">
        <v>977</v>
      </c>
      <c r="G303" t="s">
        <v>962</v>
      </c>
      <c r="H303">
        <v>2.1920000000000002</v>
      </c>
      <c r="K303">
        <v>107072037</v>
      </c>
      <c r="L303" s="2">
        <v>44811</v>
      </c>
      <c r="M303">
        <v>21</v>
      </c>
      <c r="N303">
        <v>1</v>
      </c>
      <c r="O303">
        <v>0</v>
      </c>
      <c r="P303">
        <v>1</v>
      </c>
      <c r="Q303" t="s">
        <v>7</v>
      </c>
    </row>
    <row r="304" spans="1:23">
      <c r="A304" t="s">
        <v>1021</v>
      </c>
      <c r="B304" t="s">
        <v>965</v>
      </c>
      <c r="C304">
        <v>0</v>
      </c>
      <c r="E304" t="s">
        <v>968</v>
      </c>
      <c r="F304" t="s">
        <v>977</v>
      </c>
      <c r="G304" t="s">
        <v>962</v>
      </c>
      <c r="H304">
        <v>2.1920000000000002</v>
      </c>
      <c r="K304">
        <v>107389833</v>
      </c>
      <c r="L304" s="2">
        <v>45114</v>
      </c>
      <c r="M304">
        <v>21</v>
      </c>
      <c r="N304">
        <v>1</v>
      </c>
      <c r="O304">
        <v>7</v>
      </c>
      <c r="P304">
        <v>1</v>
      </c>
      <c r="Q304" t="s">
        <v>7</v>
      </c>
    </row>
    <row r="305" spans="1:28">
      <c r="A305" t="s">
        <v>1021</v>
      </c>
      <c r="B305" t="s">
        <v>965</v>
      </c>
      <c r="C305">
        <v>0</v>
      </c>
      <c r="E305" t="s">
        <v>968</v>
      </c>
      <c r="F305" t="s">
        <v>977</v>
      </c>
      <c r="G305" t="s">
        <v>962</v>
      </c>
      <c r="H305">
        <v>2.1920000000000002</v>
      </c>
      <c r="K305">
        <v>107847004</v>
      </c>
      <c r="L305" s="2">
        <v>45547</v>
      </c>
      <c r="M305">
        <v>21</v>
      </c>
      <c r="N305">
        <v>1</v>
      </c>
      <c r="O305">
        <v>7</v>
      </c>
      <c r="P305">
        <v>1</v>
      </c>
      <c r="Q305" t="s">
        <v>7</v>
      </c>
    </row>
    <row r="306" spans="1:28">
      <c r="A306" t="s">
        <v>1021</v>
      </c>
      <c r="B306" t="s">
        <v>965</v>
      </c>
      <c r="C306">
        <v>0</v>
      </c>
      <c r="E306" t="s">
        <v>968</v>
      </c>
      <c r="F306" t="s">
        <v>977</v>
      </c>
      <c r="G306" t="s">
        <v>962</v>
      </c>
      <c r="H306">
        <v>2.1920000000000002</v>
      </c>
      <c r="K306">
        <v>108225476</v>
      </c>
      <c r="L306" s="2">
        <v>45909</v>
      </c>
      <c r="M306">
        <v>21</v>
      </c>
      <c r="N306">
        <v>1</v>
      </c>
      <c r="O306">
        <v>7</v>
      </c>
      <c r="P306">
        <v>1</v>
      </c>
      <c r="Q306" t="s">
        <v>7</v>
      </c>
    </row>
    <row r="307" spans="1:28">
      <c r="A307" t="s">
        <v>1021</v>
      </c>
      <c r="B307" t="s">
        <v>965</v>
      </c>
      <c r="C307">
        <v>0</v>
      </c>
      <c r="E307" t="s">
        <v>968</v>
      </c>
      <c r="G307" t="s">
        <v>962</v>
      </c>
      <c r="H307">
        <v>2.1920000000000002</v>
      </c>
      <c r="K307">
        <v>107218368</v>
      </c>
      <c r="L307" s="2">
        <v>44945</v>
      </c>
      <c r="M307">
        <v>28</v>
      </c>
      <c r="N307">
        <v>1</v>
      </c>
      <c r="O307">
        <v>0</v>
      </c>
      <c r="P307">
        <v>4</v>
      </c>
      <c r="Q307" t="s">
        <v>7</v>
      </c>
    </row>
    <row r="308" spans="1:28">
      <c r="A308" t="s">
        <v>1021</v>
      </c>
      <c r="B308" t="s">
        <v>962</v>
      </c>
      <c r="C308">
        <v>8.4000000000000005E-2</v>
      </c>
      <c r="D308" t="s">
        <v>756</v>
      </c>
      <c r="E308" t="s">
        <v>968</v>
      </c>
      <c r="F308" t="s">
        <v>963</v>
      </c>
      <c r="G308" t="s">
        <v>962</v>
      </c>
      <c r="H308">
        <v>2.1920000000000002</v>
      </c>
      <c r="J308" t="s">
        <v>1208</v>
      </c>
      <c r="K308">
        <v>108153033</v>
      </c>
      <c r="L308" s="2">
        <v>45832</v>
      </c>
      <c r="M308">
        <v>17</v>
      </c>
      <c r="N308">
        <v>1</v>
      </c>
      <c r="O308">
        <v>0</v>
      </c>
      <c r="P308">
        <v>1</v>
      </c>
      <c r="Q308" t="s">
        <v>7</v>
      </c>
      <c r="R308">
        <v>35.177509999999998</v>
      </c>
      <c r="S308">
        <v>-79.428079999999994</v>
      </c>
      <c r="T308" t="s">
        <v>761</v>
      </c>
      <c r="U308" t="s">
        <v>367</v>
      </c>
      <c r="V308">
        <v>4.7600000000000003E-2</v>
      </c>
      <c r="W308" t="s">
        <v>1209</v>
      </c>
      <c r="X308" t="s">
        <v>1210</v>
      </c>
      <c r="AB308" t="s">
        <v>1211</v>
      </c>
    </row>
    <row r="309" spans="1:28">
      <c r="A309" t="s">
        <v>754</v>
      </c>
      <c r="B309" t="s">
        <v>962</v>
      </c>
      <c r="C309">
        <v>1.4999999999999999E-2</v>
      </c>
      <c r="D309" t="s">
        <v>756</v>
      </c>
      <c r="E309" t="s">
        <v>968</v>
      </c>
      <c r="F309" t="s">
        <v>963</v>
      </c>
      <c r="G309" t="s">
        <v>962</v>
      </c>
      <c r="H309">
        <v>2.1920000000000002</v>
      </c>
      <c r="J309" t="s">
        <v>1208</v>
      </c>
      <c r="K309">
        <v>108469044</v>
      </c>
      <c r="L309" s="2">
        <v>46125</v>
      </c>
      <c r="M309">
        <v>21</v>
      </c>
      <c r="N309">
        <v>1</v>
      </c>
      <c r="O309">
        <v>0</v>
      </c>
      <c r="P309">
        <v>1</v>
      </c>
      <c r="Q309" t="s">
        <v>3</v>
      </c>
      <c r="R309">
        <v>35.178370000000001</v>
      </c>
      <c r="S309">
        <v>-79.431489999999997</v>
      </c>
      <c r="T309" t="s">
        <v>755</v>
      </c>
      <c r="U309" t="s">
        <v>367</v>
      </c>
      <c r="V309">
        <v>0.19989999999999999</v>
      </c>
      <c r="W309" t="s">
        <v>1348</v>
      </c>
    </row>
    <row r="310" spans="1:28">
      <c r="A310" t="s">
        <v>754</v>
      </c>
      <c r="B310" t="s">
        <v>962</v>
      </c>
      <c r="C310">
        <v>0.1</v>
      </c>
      <c r="D310" t="s">
        <v>6</v>
      </c>
      <c r="E310" t="s">
        <v>968</v>
      </c>
      <c r="F310" t="s">
        <v>973</v>
      </c>
      <c r="G310" t="s">
        <v>962</v>
      </c>
      <c r="H310">
        <v>2.1920000000000002</v>
      </c>
      <c r="K310">
        <v>108073602</v>
      </c>
      <c r="L310" s="2">
        <v>45750</v>
      </c>
      <c r="M310">
        <v>21</v>
      </c>
      <c r="N310">
        <v>1</v>
      </c>
      <c r="O310">
        <v>0</v>
      </c>
      <c r="P310">
        <v>1</v>
      </c>
      <c r="Q310" t="s">
        <v>3</v>
      </c>
      <c r="R310">
        <v>35.176965000000003</v>
      </c>
      <c r="S310">
        <v>-79.434110000000004</v>
      </c>
      <c r="T310" t="s">
        <v>761</v>
      </c>
      <c r="U310" t="s">
        <v>367</v>
      </c>
      <c r="V310">
        <v>0.35759999999999997</v>
      </c>
    </row>
    <row r="311" spans="1:28">
      <c r="A311" t="s">
        <v>1021</v>
      </c>
      <c r="B311" t="s">
        <v>962</v>
      </c>
      <c r="C311">
        <v>0</v>
      </c>
      <c r="E311" t="s">
        <v>968</v>
      </c>
      <c r="F311" t="s">
        <v>962</v>
      </c>
      <c r="G311" t="s">
        <v>962</v>
      </c>
      <c r="H311">
        <v>2.1920000000000002</v>
      </c>
      <c r="K311">
        <v>106343026</v>
      </c>
      <c r="L311" s="2">
        <v>44089</v>
      </c>
      <c r="M311">
        <v>21</v>
      </c>
      <c r="N311">
        <v>1</v>
      </c>
      <c r="O311">
        <v>0</v>
      </c>
      <c r="P311">
        <v>1</v>
      </c>
      <c r="Q311" t="s">
        <v>7</v>
      </c>
    </row>
    <row r="312" spans="1:28">
      <c r="A312" t="s">
        <v>1021</v>
      </c>
      <c r="B312" t="s">
        <v>962</v>
      </c>
      <c r="C312">
        <v>3.3000000000000002E-2</v>
      </c>
      <c r="D312" t="s">
        <v>756</v>
      </c>
      <c r="E312" t="s">
        <v>968</v>
      </c>
      <c r="F312" t="s">
        <v>960</v>
      </c>
      <c r="G312" t="s">
        <v>962</v>
      </c>
      <c r="H312">
        <v>2.1920000000000002</v>
      </c>
      <c r="J312" t="s">
        <v>1208</v>
      </c>
      <c r="K312">
        <v>105933809</v>
      </c>
      <c r="L312" s="2">
        <v>43651</v>
      </c>
      <c r="M312">
        <v>21</v>
      </c>
      <c r="N312">
        <v>1</v>
      </c>
      <c r="O312">
        <v>0</v>
      </c>
      <c r="P312">
        <v>1</v>
      </c>
      <c r="Q312" t="s">
        <v>7</v>
      </c>
      <c r="W312" t="s">
        <v>885</v>
      </c>
    </row>
    <row r="313" spans="1:28">
      <c r="A313" t="s">
        <v>1021</v>
      </c>
      <c r="B313" t="s">
        <v>962</v>
      </c>
      <c r="C313">
        <v>1.9E-2</v>
      </c>
      <c r="D313" t="s">
        <v>756</v>
      </c>
      <c r="E313" t="s">
        <v>968</v>
      </c>
      <c r="F313" t="s">
        <v>960</v>
      </c>
      <c r="G313" t="s">
        <v>962</v>
      </c>
      <c r="H313">
        <v>2.1920000000000002</v>
      </c>
      <c r="J313" t="s">
        <v>1208</v>
      </c>
      <c r="K313">
        <v>106355502</v>
      </c>
      <c r="L313" s="2">
        <v>44104</v>
      </c>
      <c r="M313">
        <v>21</v>
      </c>
      <c r="N313">
        <v>1</v>
      </c>
      <c r="O313">
        <v>0</v>
      </c>
      <c r="P313">
        <v>1</v>
      </c>
      <c r="Q313" t="s">
        <v>3</v>
      </c>
      <c r="W313" t="s">
        <v>885</v>
      </c>
    </row>
    <row r="314" spans="1:28">
      <c r="A314" t="s">
        <v>1021</v>
      </c>
      <c r="B314" t="s">
        <v>962</v>
      </c>
      <c r="C314">
        <v>0</v>
      </c>
      <c r="E314" t="s">
        <v>968</v>
      </c>
      <c r="F314" t="s">
        <v>960</v>
      </c>
      <c r="G314" t="s">
        <v>962</v>
      </c>
      <c r="H314">
        <v>2.1920000000000002</v>
      </c>
      <c r="J314" t="s">
        <v>1208</v>
      </c>
      <c r="K314">
        <v>106763653</v>
      </c>
      <c r="L314" s="2">
        <v>44504</v>
      </c>
      <c r="M314">
        <v>21</v>
      </c>
      <c r="N314">
        <v>2</v>
      </c>
      <c r="O314">
        <v>7</v>
      </c>
      <c r="P314">
        <v>1</v>
      </c>
      <c r="Q314" t="s">
        <v>7</v>
      </c>
      <c r="W314" t="s">
        <v>885</v>
      </c>
    </row>
    <row r="315" spans="1:28">
      <c r="A315" t="s">
        <v>1021</v>
      </c>
      <c r="B315" t="s">
        <v>962</v>
      </c>
      <c r="C315">
        <v>4.0000000000000001E-3</v>
      </c>
      <c r="D315" t="s">
        <v>756</v>
      </c>
      <c r="E315" t="s">
        <v>968</v>
      </c>
      <c r="F315" t="s">
        <v>960</v>
      </c>
      <c r="G315" t="s">
        <v>962</v>
      </c>
      <c r="H315">
        <v>2.1920000000000002</v>
      </c>
      <c r="J315" t="s">
        <v>1208</v>
      </c>
      <c r="K315">
        <v>105954816</v>
      </c>
      <c r="L315" s="2">
        <v>43682</v>
      </c>
      <c r="M315">
        <v>26</v>
      </c>
      <c r="N315">
        <v>1</v>
      </c>
      <c r="O315">
        <v>12</v>
      </c>
      <c r="P315">
        <v>1</v>
      </c>
      <c r="Q315" t="s">
        <v>7</v>
      </c>
      <c r="W315" t="s">
        <v>885</v>
      </c>
    </row>
    <row r="316" spans="1:28">
      <c r="A316" t="s">
        <v>1021</v>
      </c>
      <c r="B316" t="s">
        <v>962</v>
      </c>
      <c r="C316">
        <v>0</v>
      </c>
      <c r="E316" t="s">
        <v>968</v>
      </c>
      <c r="F316" t="s">
        <v>1024</v>
      </c>
      <c r="G316" t="s">
        <v>962</v>
      </c>
      <c r="H316">
        <v>2.1920000000000002</v>
      </c>
      <c r="K316">
        <v>108111697</v>
      </c>
      <c r="L316" s="2">
        <v>45793</v>
      </c>
      <c r="M316">
        <v>21</v>
      </c>
      <c r="N316">
        <v>1</v>
      </c>
      <c r="O316">
        <v>7</v>
      </c>
      <c r="P316">
        <v>1</v>
      </c>
      <c r="Q316" t="s">
        <v>7</v>
      </c>
      <c r="R316">
        <v>35.177770000000002</v>
      </c>
      <c r="S316">
        <v>-79.431650000000005</v>
      </c>
      <c r="T316" t="s">
        <v>761</v>
      </c>
      <c r="U316" t="s">
        <v>367</v>
      </c>
      <c r="V316">
        <v>0.21049999999999999</v>
      </c>
    </row>
    <row r="317" spans="1:28">
      <c r="A317" t="s">
        <v>754</v>
      </c>
      <c r="B317" t="s">
        <v>962</v>
      </c>
      <c r="C317">
        <v>4.0000000000000001E-3</v>
      </c>
      <c r="D317" t="s">
        <v>756</v>
      </c>
      <c r="E317" t="s">
        <v>968</v>
      </c>
      <c r="F317" t="s">
        <v>1024</v>
      </c>
      <c r="G317" t="s">
        <v>962</v>
      </c>
      <c r="H317">
        <v>2.1920000000000002</v>
      </c>
      <c r="K317">
        <v>108600406</v>
      </c>
      <c r="L317" s="2">
        <v>46257</v>
      </c>
      <c r="M317">
        <v>21</v>
      </c>
      <c r="N317">
        <v>1</v>
      </c>
      <c r="O317">
        <v>0</v>
      </c>
      <c r="P317">
        <v>1</v>
      </c>
      <c r="Q317" t="s">
        <v>3</v>
      </c>
      <c r="R317">
        <v>35.177579999999999</v>
      </c>
      <c r="S317">
        <v>-79.431340000000006</v>
      </c>
      <c r="T317" t="s">
        <v>755</v>
      </c>
      <c r="U317" t="s">
        <v>367</v>
      </c>
      <c r="V317">
        <v>0.1956</v>
      </c>
    </row>
    <row r="318" spans="1:28">
      <c r="A318" t="s">
        <v>754</v>
      </c>
      <c r="B318" t="s">
        <v>962</v>
      </c>
      <c r="C318">
        <v>9.5000000000000001E-2</v>
      </c>
      <c r="D318" t="s">
        <v>756</v>
      </c>
      <c r="E318" t="s">
        <v>968</v>
      </c>
      <c r="F318" t="s">
        <v>1024</v>
      </c>
      <c r="G318" t="s">
        <v>962</v>
      </c>
      <c r="H318">
        <v>2.1920000000000002</v>
      </c>
      <c r="K318">
        <v>107464310</v>
      </c>
      <c r="L318" s="2">
        <v>45188</v>
      </c>
      <c r="M318">
        <v>28</v>
      </c>
      <c r="N318">
        <v>1</v>
      </c>
      <c r="O318">
        <v>0</v>
      </c>
      <c r="P318">
        <v>1</v>
      </c>
      <c r="Q318" t="s">
        <v>7</v>
      </c>
    </row>
    <row r="319" spans="1:28">
      <c r="A319" t="s">
        <v>1021</v>
      </c>
      <c r="B319" t="s">
        <v>962</v>
      </c>
      <c r="C319">
        <v>0</v>
      </c>
      <c r="E319" t="s">
        <v>968</v>
      </c>
      <c r="F319" t="s">
        <v>977</v>
      </c>
      <c r="G319" t="s">
        <v>962</v>
      </c>
      <c r="H319">
        <v>2.1920000000000002</v>
      </c>
      <c r="K319">
        <v>105561216</v>
      </c>
      <c r="L319" s="2">
        <v>43307</v>
      </c>
      <c r="M319">
        <v>21</v>
      </c>
      <c r="N319">
        <v>1</v>
      </c>
      <c r="O319">
        <v>7</v>
      </c>
      <c r="P319">
        <v>1</v>
      </c>
      <c r="Q319" t="s">
        <v>7</v>
      </c>
    </row>
    <row r="320" spans="1:28">
      <c r="A320" t="s">
        <v>970</v>
      </c>
      <c r="B320" t="s">
        <v>962</v>
      </c>
      <c r="C320">
        <v>0.1</v>
      </c>
      <c r="D320" t="s">
        <v>756</v>
      </c>
      <c r="E320" t="s">
        <v>968</v>
      </c>
      <c r="F320" t="s">
        <v>977</v>
      </c>
      <c r="G320" t="s">
        <v>962</v>
      </c>
      <c r="H320">
        <v>2.1920000000000002</v>
      </c>
      <c r="K320">
        <v>108101869</v>
      </c>
      <c r="L320" s="2">
        <v>45783</v>
      </c>
      <c r="M320">
        <v>28</v>
      </c>
      <c r="N320">
        <v>1</v>
      </c>
      <c r="O320">
        <v>0</v>
      </c>
      <c r="P320">
        <v>1</v>
      </c>
      <c r="Q320" t="s">
        <v>7</v>
      </c>
      <c r="R320">
        <v>35.177053000000001</v>
      </c>
      <c r="S320">
        <v>-79.43338</v>
      </c>
      <c r="T320" t="s">
        <v>761</v>
      </c>
      <c r="U320" t="s">
        <v>367</v>
      </c>
      <c r="V320">
        <v>0.31609999999999999</v>
      </c>
    </row>
    <row r="321" spans="1:23">
      <c r="A321" t="s">
        <v>754</v>
      </c>
      <c r="B321" t="s">
        <v>962</v>
      </c>
      <c r="C321">
        <v>0</v>
      </c>
      <c r="E321" t="s">
        <v>968</v>
      </c>
      <c r="F321" t="s">
        <v>979</v>
      </c>
      <c r="G321" t="s">
        <v>962</v>
      </c>
      <c r="H321">
        <v>2.1920000000000002</v>
      </c>
      <c r="K321">
        <v>107313737</v>
      </c>
      <c r="L321" s="2">
        <v>45030</v>
      </c>
      <c r="M321">
        <v>26</v>
      </c>
      <c r="N321">
        <v>2</v>
      </c>
      <c r="O321">
        <v>7</v>
      </c>
      <c r="P321">
        <v>1</v>
      </c>
      <c r="Q321" t="s">
        <v>7</v>
      </c>
    </row>
    <row r="322" spans="1:23">
      <c r="A322" t="s">
        <v>754</v>
      </c>
      <c r="B322" t="s">
        <v>962</v>
      </c>
      <c r="C322">
        <v>1.2999999999999999E-2</v>
      </c>
      <c r="D322" t="s">
        <v>756</v>
      </c>
      <c r="E322" t="s">
        <v>968</v>
      </c>
      <c r="F322" t="s">
        <v>1104</v>
      </c>
      <c r="G322" t="s">
        <v>962</v>
      </c>
      <c r="H322">
        <v>2.1920000000000002</v>
      </c>
      <c r="K322">
        <v>107649200</v>
      </c>
      <c r="L322" s="2">
        <v>45358</v>
      </c>
      <c r="M322">
        <v>21</v>
      </c>
      <c r="N322">
        <v>2</v>
      </c>
      <c r="O322">
        <v>0</v>
      </c>
      <c r="P322">
        <v>1</v>
      </c>
      <c r="Q322" t="s">
        <v>7</v>
      </c>
      <c r="R322">
        <v>35.177639999999997</v>
      </c>
      <c r="S322">
        <v>-79.430779999999999</v>
      </c>
      <c r="T322" t="s">
        <v>761</v>
      </c>
      <c r="U322" t="s">
        <v>367</v>
      </c>
      <c r="V322">
        <v>0.16389999999999999</v>
      </c>
    </row>
    <row r="323" spans="1:23">
      <c r="A323" t="s">
        <v>754</v>
      </c>
      <c r="B323" t="s">
        <v>962</v>
      </c>
      <c r="C323">
        <v>0</v>
      </c>
      <c r="E323" t="s">
        <v>1022</v>
      </c>
      <c r="F323" t="s">
        <v>968</v>
      </c>
      <c r="G323" t="s">
        <v>962</v>
      </c>
      <c r="H323">
        <v>999.99900000000002</v>
      </c>
      <c r="K323">
        <v>108470825</v>
      </c>
      <c r="L323" s="2">
        <v>46125</v>
      </c>
      <c r="M323">
        <v>26</v>
      </c>
      <c r="N323">
        <v>1</v>
      </c>
      <c r="O323">
        <v>8</v>
      </c>
      <c r="P323">
        <v>1</v>
      </c>
      <c r="Q323" t="s">
        <v>7</v>
      </c>
      <c r="R323">
        <v>35.178049999999999</v>
      </c>
      <c r="S323">
        <v>-79.429919999999996</v>
      </c>
      <c r="T323" t="s">
        <v>755</v>
      </c>
      <c r="U323" t="s">
        <v>367</v>
      </c>
      <c r="V323">
        <v>0.11119999999999999</v>
      </c>
    </row>
    <row r="324" spans="1:23">
      <c r="A324" t="s">
        <v>1021</v>
      </c>
      <c r="B324" t="s">
        <v>962</v>
      </c>
      <c r="C324">
        <v>0.25</v>
      </c>
      <c r="D324" t="s">
        <v>758</v>
      </c>
      <c r="E324" t="s">
        <v>960</v>
      </c>
      <c r="F324" t="s">
        <v>968</v>
      </c>
      <c r="G324" t="s">
        <v>962</v>
      </c>
      <c r="H324">
        <v>999.99900000000002</v>
      </c>
      <c r="J324" t="s">
        <v>1208</v>
      </c>
      <c r="K324">
        <v>106778678</v>
      </c>
      <c r="L324" s="2">
        <v>44519</v>
      </c>
      <c r="M324">
        <v>28</v>
      </c>
      <c r="N324">
        <v>1</v>
      </c>
      <c r="O324">
        <v>0</v>
      </c>
      <c r="P324">
        <v>4</v>
      </c>
      <c r="Q324" t="s">
        <v>7</v>
      </c>
      <c r="W324" t="s">
        <v>1348</v>
      </c>
    </row>
    <row r="325" spans="1:23">
      <c r="A325" t="s">
        <v>754</v>
      </c>
      <c r="B325" t="s">
        <v>961</v>
      </c>
      <c r="C325">
        <v>1.6E-2</v>
      </c>
      <c r="D325" t="s">
        <v>758</v>
      </c>
      <c r="E325" t="s">
        <v>968</v>
      </c>
      <c r="F325" t="s">
        <v>973</v>
      </c>
      <c r="G325" t="s">
        <v>961</v>
      </c>
      <c r="H325">
        <v>0</v>
      </c>
      <c r="K325">
        <v>107947711</v>
      </c>
      <c r="L325" s="2">
        <v>45631</v>
      </c>
      <c r="M325">
        <v>21</v>
      </c>
      <c r="N325">
        <v>1</v>
      </c>
      <c r="O325">
        <v>7</v>
      </c>
      <c r="P325">
        <v>1</v>
      </c>
      <c r="Q325" t="s">
        <v>3</v>
      </c>
      <c r="R325">
        <v>35.177079999999997</v>
      </c>
      <c r="S325">
        <v>-79.431610000000006</v>
      </c>
      <c r="T325" t="s">
        <v>761</v>
      </c>
      <c r="U325" t="s">
        <v>367</v>
      </c>
      <c r="V325">
        <v>0.22009999999999999</v>
      </c>
    </row>
    <row r="326" spans="1:23">
      <c r="A326" t="s">
        <v>1021</v>
      </c>
      <c r="B326" t="s">
        <v>961</v>
      </c>
      <c r="C326">
        <v>2E-3</v>
      </c>
      <c r="D326" t="s">
        <v>758</v>
      </c>
      <c r="E326" t="s">
        <v>968</v>
      </c>
      <c r="F326" t="s">
        <v>973</v>
      </c>
      <c r="G326" t="s">
        <v>961</v>
      </c>
      <c r="H326">
        <v>0</v>
      </c>
      <c r="K326">
        <v>106710804</v>
      </c>
      <c r="L326" s="2">
        <v>44460</v>
      </c>
      <c r="M326">
        <v>21</v>
      </c>
      <c r="N326">
        <v>2</v>
      </c>
      <c r="O326">
        <v>7</v>
      </c>
      <c r="P326">
        <v>1</v>
      </c>
      <c r="Q326" t="s">
        <v>7</v>
      </c>
    </row>
    <row r="327" spans="1:23">
      <c r="A327" t="s">
        <v>754</v>
      </c>
      <c r="B327" t="s">
        <v>961</v>
      </c>
      <c r="C327">
        <v>0</v>
      </c>
      <c r="E327" t="s">
        <v>968</v>
      </c>
      <c r="F327" t="s">
        <v>1024</v>
      </c>
      <c r="G327" t="s">
        <v>961</v>
      </c>
      <c r="H327">
        <v>0</v>
      </c>
      <c r="K327">
        <v>108594348</v>
      </c>
      <c r="L327" s="2">
        <v>46247</v>
      </c>
      <c r="M327">
        <v>23</v>
      </c>
      <c r="N327">
        <v>1</v>
      </c>
      <c r="O327">
        <v>7</v>
      </c>
      <c r="P327">
        <v>5</v>
      </c>
      <c r="Q327" t="s">
        <v>7</v>
      </c>
      <c r="R327">
        <v>35.177419999999998</v>
      </c>
      <c r="S327">
        <v>-79.431749999999994</v>
      </c>
      <c r="T327" t="s">
        <v>755</v>
      </c>
      <c r="U327" t="s">
        <v>367</v>
      </c>
      <c r="V327">
        <v>0.22070000000000001</v>
      </c>
    </row>
    <row r="328" spans="1:23">
      <c r="A328" t="s">
        <v>1021</v>
      </c>
      <c r="B328" t="s">
        <v>965</v>
      </c>
      <c r="C328">
        <v>3.0000000000000001E-3</v>
      </c>
      <c r="D328" t="s">
        <v>756</v>
      </c>
      <c r="E328" t="s">
        <v>1080</v>
      </c>
      <c r="F328" t="s">
        <v>977</v>
      </c>
      <c r="G328" t="s">
        <v>961</v>
      </c>
      <c r="H328">
        <v>3.0000000000000001E-3</v>
      </c>
      <c r="K328">
        <v>107230268</v>
      </c>
      <c r="L328" s="2">
        <v>44957</v>
      </c>
      <c r="M328">
        <v>21</v>
      </c>
      <c r="N328">
        <v>1</v>
      </c>
      <c r="O328">
        <v>7</v>
      </c>
      <c r="P328">
        <v>1</v>
      </c>
      <c r="Q328" t="s">
        <v>7</v>
      </c>
    </row>
    <row r="329" spans="1:23">
      <c r="A329" t="s">
        <v>1021</v>
      </c>
      <c r="B329" t="s">
        <v>965</v>
      </c>
      <c r="C329">
        <v>8.0000000000000002E-3</v>
      </c>
      <c r="D329" t="s">
        <v>756</v>
      </c>
      <c r="E329" t="s">
        <v>968</v>
      </c>
      <c r="F329" t="s">
        <v>963</v>
      </c>
      <c r="G329" t="s">
        <v>961</v>
      </c>
      <c r="H329">
        <v>8.0000000000000002E-3</v>
      </c>
      <c r="J329" t="s">
        <v>1208</v>
      </c>
      <c r="K329">
        <v>107951962</v>
      </c>
      <c r="L329" s="2">
        <v>45636</v>
      </c>
      <c r="M329">
        <v>28</v>
      </c>
      <c r="N329">
        <v>2</v>
      </c>
      <c r="O329">
        <v>7</v>
      </c>
      <c r="P329">
        <v>1</v>
      </c>
      <c r="Q329" t="s">
        <v>7</v>
      </c>
      <c r="W329" t="s">
        <v>885</v>
      </c>
    </row>
    <row r="330" spans="1:23">
      <c r="A330" t="s">
        <v>1021</v>
      </c>
      <c r="B330" t="s">
        <v>965</v>
      </c>
      <c r="C330">
        <v>8.9999999999999993E-3</v>
      </c>
      <c r="D330" t="s">
        <v>756</v>
      </c>
      <c r="E330" t="s">
        <v>968</v>
      </c>
      <c r="F330" t="s">
        <v>967</v>
      </c>
      <c r="G330" t="s">
        <v>961</v>
      </c>
      <c r="H330">
        <v>8.9999999999999993E-3</v>
      </c>
      <c r="J330" t="s">
        <v>1208</v>
      </c>
      <c r="K330">
        <v>106910437</v>
      </c>
      <c r="L330" s="2">
        <v>44656</v>
      </c>
      <c r="M330">
        <v>21</v>
      </c>
      <c r="N330">
        <v>1</v>
      </c>
      <c r="O330">
        <v>0</v>
      </c>
      <c r="P330">
        <v>1</v>
      </c>
      <c r="Q330" t="s">
        <v>7</v>
      </c>
      <c r="W330" t="s">
        <v>885</v>
      </c>
    </row>
    <row r="331" spans="1:23">
      <c r="A331" t="s">
        <v>1021</v>
      </c>
      <c r="B331" t="s">
        <v>965</v>
      </c>
      <c r="C331">
        <v>8.9999999999999993E-3</v>
      </c>
      <c r="D331" t="s">
        <v>756</v>
      </c>
      <c r="E331" t="s">
        <v>968</v>
      </c>
      <c r="F331" t="s">
        <v>967</v>
      </c>
      <c r="G331" t="s">
        <v>961</v>
      </c>
      <c r="H331">
        <v>8.9999999999999993E-3</v>
      </c>
      <c r="J331" t="s">
        <v>1208</v>
      </c>
      <c r="K331">
        <v>105611393</v>
      </c>
      <c r="L331" s="2">
        <v>43349</v>
      </c>
      <c r="M331">
        <v>28</v>
      </c>
      <c r="N331">
        <v>1</v>
      </c>
      <c r="O331">
        <v>7</v>
      </c>
      <c r="P331">
        <v>1</v>
      </c>
      <c r="Q331" t="s">
        <v>7</v>
      </c>
      <c r="W331" t="s">
        <v>885</v>
      </c>
    </row>
    <row r="332" spans="1:23">
      <c r="A332" t="s">
        <v>1021</v>
      </c>
      <c r="B332" t="s">
        <v>965</v>
      </c>
      <c r="C332">
        <v>8.9999999999999993E-3</v>
      </c>
      <c r="D332" t="s">
        <v>756</v>
      </c>
      <c r="E332" t="s">
        <v>1080</v>
      </c>
      <c r="F332" t="s">
        <v>967</v>
      </c>
      <c r="G332" t="s">
        <v>961</v>
      </c>
      <c r="H332">
        <v>8.9999999999999993E-3</v>
      </c>
      <c r="J332" t="s">
        <v>1208</v>
      </c>
      <c r="K332">
        <v>107205129</v>
      </c>
      <c r="L332" s="2">
        <v>44933</v>
      </c>
      <c r="M332">
        <v>21</v>
      </c>
      <c r="N332">
        <v>1</v>
      </c>
      <c r="O332">
        <v>0</v>
      </c>
      <c r="P332">
        <v>1</v>
      </c>
      <c r="Q332" t="s">
        <v>7</v>
      </c>
      <c r="W332" t="s">
        <v>885</v>
      </c>
    </row>
    <row r="333" spans="1:23">
      <c r="A333" t="s">
        <v>1021</v>
      </c>
      <c r="B333" t="s">
        <v>965</v>
      </c>
      <c r="C333">
        <v>0.2</v>
      </c>
      <c r="D333" t="s">
        <v>758</v>
      </c>
      <c r="E333" t="s">
        <v>967</v>
      </c>
      <c r="F333" t="s">
        <v>968</v>
      </c>
      <c r="G333" t="s">
        <v>961</v>
      </c>
      <c r="H333">
        <v>1.0999999999999999E-2</v>
      </c>
      <c r="J333" t="s">
        <v>1208</v>
      </c>
      <c r="K333">
        <v>105611397</v>
      </c>
      <c r="L333" s="2">
        <v>43344</v>
      </c>
      <c r="M333">
        <v>30</v>
      </c>
      <c r="N333">
        <v>1</v>
      </c>
      <c r="O333">
        <v>0</v>
      </c>
      <c r="P333">
        <v>2</v>
      </c>
      <c r="Q333" t="s">
        <v>3</v>
      </c>
      <c r="W333" t="s">
        <v>1347</v>
      </c>
    </row>
    <row r="334" spans="1:23">
      <c r="A334" t="s">
        <v>1021</v>
      </c>
      <c r="B334" t="s">
        <v>965</v>
      </c>
      <c r="C334">
        <v>0.2</v>
      </c>
      <c r="D334" t="s">
        <v>758</v>
      </c>
      <c r="E334" t="s">
        <v>967</v>
      </c>
      <c r="F334" t="s">
        <v>1080</v>
      </c>
      <c r="G334" t="s">
        <v>961</v>
      </c>
      <c r="H334">
        <v>1.0999999999999999E-2</v>
      </c>
      <c r="J334" t="s">
        <v>1208</v>
      </c>
      <c r="K334">
        <v>106296410</v>
      </c>
      <c r="L334" s="2">
        <v>43992</v>
      </c>
      <c r="M334">
        <v>21</v>
      </c>
      <c r="N334">
        <v>1</v>
      </c>
      <c r="O334">
        <v>7</v>
      </c>
      <c r="P334">
        <v>1</v>
      </c>
      <c r="Q334" t="s">
        <v>7</v>
      </c>
      <c r="W334" t="s">
        <v>885</v>
      </c>
    </row>
    <row r="335" spans="1:23">
      <c r="A335" t="s">
        <v>1021</v>
      </c>
      <c r="B335" t="s">
        <v>965</v>
      </c>
      <c r="C335">
        <v>0.02</v>
      </c>
      <c r="D335" t="s">
        <v>756</v>
      </c>
      <c r="E335" t="s">
        <v>968</v>
      </c>
      <c r="F335" t="s">
        <v>967</v>
      </c>
      <c r="G335" t="s">
        <v>961</v>
      </c>
      <c r="H335">
        <v>0.02</v>
      </c>
      <c r="J335" t="s">
        <v>1208</v>
      </c>
      <c r="K335">
        <v>105075626</v>
      </c>
      <c r="L335" s="2">
        <v>42826</v>
      </c>
      <c r="M335">
        <v>30</v>
      </c>
      <c r="N335">
        <v>1</v>
      </c>
      <c r="O335">
        <v>8</v>
      </c>
      <c r="P335">
        <v>1</v>
      </c>
      <c r="Q335" t="s">
        <v>7</v>
      </c>
      <c r="W335" t="s">
        <v>1347</v>
      </c>
    </row>
    <row r="336" spans="1:23">
      <c r="A336" t="s">
        <v>1021</v>
      </c>
      <c r="B336" t="s">
        <v>965</v>
      </c>
      <c r="C336">
        <v>0.19</v>
      </c>
      <c r="D336" t="s">
        <v>758</v>
      </c>
      <c r="E336" t="s">
        <v>967</v>
      </c>
      <c r="F336" t="s">
        <v>968</v>
      </c>
      <c r="G336" t="s">
        <v>961</v>
      </c>
      <c r="H336">
        <v>2.1000000000000001E-2</v>
      </c>
      <c r="J336" t="s">
        <v>1208</v>
      </c>
      <c r="K336">
        <v>107630621</v>
      </c>
      <c r="L336" s="2">
        <v>45343</v>
      </c>
      <c r="M336">
        <v>21</v>
      </c>
      <c r="N336">
        <v>1</v>
      </c>
      <c r="O336">
        <v>0</v>
      </c>
      <c r="P336">
        <v>1</v>
      </c>
      <c r="Q336" t="s">
        <v>7</v>
      </c>
      <c r="W336" t="s">
        <v>1348</v>
      </c>
    </row>
    <row r="337" spans="1:28">
      <c r="A337" t="s">
        <v>1021</v>
      </c>
      <c r="B337" t="s">
        <v>965</v>
      </c>
      <c r="C337">
        <v>0.18</v>
      </c>
      <c r="D337" t="s">
        <v>758</v>
      </c>
      <c r="E337" t="s">
        <v>967</v>
      </c>
      <c r="F337" t="s">
        <v>968</v>
      </c>
      <c r="G337" t="s">
        <v>961</v>
      </c>
      <c r="H337">
        <v>3.1E-2</v>
      </c>
      <c r="J337" t="s">
        <v>1208</v>
      </c>
      <c r="K337">
        <v>107151491</v>
      </c>
      <c r="L337" s="2">
        <v>44883</v>
      </c>
      <c r="M337">
        <v>28</v>
      </c>
      <c r="N337">
        <v>1</v>
      </c>
      <c r="O337">
        <v>0</v>
      </c>
      <c r="P337">
        <v>2</v>
      </c>
      <c r="Q337" t="s">
        <v>7</v>
      </c>
      <c r="W337" t="s">
        <v>1348</v>
      </c>
    </row>
    <row r="338" spans="1:28">
      <c r="A338" t="s">
        <v>1021</v>
      </c>
      <c r="B338" t="s">
        <v>965</v>
      </c>
      <c r="C338">
        <v>3.1E-2</v>
      </c>
      <c r="D338" t="s">
        <v>756</v>
      </c>
      <c r="E338" t="s">
        <v>968</v>
      </c>
      <c r="G338" t="s">
        <v>961</v>
      </c>
      <c r="H338">
        <v>3.1E-2</v>
      </c>
      <c r="K338">
        <v>106167499</v>
      </c>
      <c r="L338" s="2">
        <v>43844</v>
      </c>
      <c r="M338">
        <v>21</v>
      </c>
      <c r="N338">
        <v>2</v>
      </c>
      <c r="O338">
        <v>0</v>
      </c>
      <c r="P338">
        <v>1</v>
      </c>
      <c r="Q338" t="s">
        <v>3</v>
      </c>
    </row>
    <row r="339" spans="1:28">
      <c r="A339" t="s">
        <v>1021</v>
      </c>
      <c r="B339" t="s">
        <v>965</v>
      </c>
      <c r="C339">
        <v>3.4000000000000002E-2</v>
      </c>
      <c r="D339" t="s">
        <v>756</v>
      </c>
      <c r="E339" t="s">
        <v>968</v>
      </c>
      <c r="F339" t="s">
        <v>963</v>
      </c>
      <c r="G339" t="s">
        <v>961</v>
      </c>
      <c r="H339">
        <v>3.4000000000000002E-2</v>
      </c>
      <c r="J339" t="s">
        <v>1208</v>
      </c>
      <c r="K339">
        <v>107316179</v>
      </c>
      <c r="L339" s="2">
        <v>45027</v>
      </c>
      <c r="M339">
        <v>28</v>
      </c>
      <c r="N339">
        <v>1</v>
      </c>
      <c r="O339">
        <v>0</v>
      </c>
      <c r="P339">
        <v>1</v>
      </c>
      <c r="Q339" t="s">
        <v>8</v>
      </c>
      <c r="W339" t="s">
        <v>1348</v>
      </c>
    </row>
    <row r="340" spans="1:28">
      <c r="A340" t="s">
        <v>1021</v>
      </c>
      <c r="B340" t="s">
        <v>965</v>
      </c>
      <c r="C340">
        <v>3.4000000000000002E-2</v>
      </c>
      <c r="D340" t="s">
        <v>756</v>
      </c>
      <c r="E340" t="s">
        <v>968</v>
      </c>
      <c r="F340" t="s">
        <v>967</v>
      </c>
      <c r="G340" t="s">
        <v>961</v>
      </c>
      <c r="H340">
        <v>3.4000000000000002E-2</v>
      </c>
      <c r="J340" t="s">
        <v>1208</v>
      </c>
      <c r="K340">
        <v>108484135</v>
      </c>
      <c r="L340" s="2">
        <v>46143</v>
      </c>
      <c r="M340">
        <v>21</v>
      </c>
      <c r="N340">
        <v>2</v>
      </c>
      <c r="O340">
        <v>0</v>
      </c>
      <c r="P340">
        <v>1</v>
      </c>
      <c r="Q340" t="s">
        <v>7</v>
      </c>
      <c r="W340" t="s">
        <v>885</v>
      </c>
    </row>
    <row r="341" spans="1:28">
      <c r="A341" t="s">
        <v>1021</v>
      </c>
      <c r="B341" t="s">
        <v>965</v>
      </c>
      <c r="C341">
        <v>3.7999999999999999E-2</v>
      </c>
      <c r="D341" t="s">
        <v>756</v>
      </c>
      <c r="E341" t="s">
        <v>968</v>
      </c>
      <c r="F341" t="s">
        <v>967</v>
      </c>
      <c r="G341" t="s">
        <v>961</v>
      </c>
      <c r="H341">
        <v>3.7999999999999999E-2</v>
      </c>
      <c r="J341" t="s">
        <v>1208</v>
      </c>
      <c r="K341">
        <v>107067250</v>
      </c>
      <c r="L341" s="2">
        <v>44806</v>
      </c>
      <c r="M341">
        <v>21</v>
      </c>
      <c r="N341">
        <v>1</v>
      </c>
      <c r="O341">
        <v>0</v>
      </c>
      <c r="P341">
        <v>1</v>
      </c>
      <c r="Q341" t="s">
        <v>7</v>
      </c>
      <c r="W341" t="s">
        <v>1347</v>
      </c>
    </row>
    <row r="342" spans="1:28">
      <c r="A342" t="s">
        <v>1021</v>
      </c>
      <c r="B342" t="s">
        <v>965</v>
      </c>
      <c r="C342">
        <v>3.7999999999999999E-2</v>
      </c>
      <c r="D342" t="s">
        <v>756</v>
      </c>
      <c r="E342" t="s">
        <v>968</v>
      </c>
      <c r="F342" t="s">
        <v>964</v>
      </c>
      <c r="G342" t="s">
        <v>961</v>
      </c>
      <c r="H342">
        <v>3.7999999999999999E-2</v>
      </c>
      <c r="K342">
        <v>107629002</v>
      </c>
      <c r="L342" s="2">
        <v>45342</v>
      </c>
      <c r="M342">
        <v>23</v>
      </c>
      <c r="N342">
        <v>1</v>
      </c>
      <c r="O342">
        <v>0</v>
      </c>
      <c r="P342">
        <v>1</v>
      </c>
      <c r="Q342" t="s">
        <v>7</v>
      </c>
    </row>
    <row r="343" spans="1:28">
      <c r="A343" t="s">
        <v>1021</v>
      </c>
      <c r="B343" t="s">
        <v>965</v>
      </c>
      <c r="C343">
        <v>0.17</v>
      </c>
      <c r="D343" t="s">
        <v>758</v>
      </c>
      <c r="E343" t="s">
        <v>967</v>
      </c>
      <c r="F343" t="s">
        <v>968</v>
      </c>
      <c r="G343" t="s">
        <v>961</v>
      </c>
      <c r="H343">
        <v>4.1000000000000002E-2</v>
      </c>
      <c r="J343" t="s">
        <v>1208</v>
      </c>
      <c r="K343">
        <v>107001492</v>
      </c>
      <c r="L343" s="2">
        <v>44741</v>
      </c>
      <c r="M343">
        <v>21</v>
      </c>
      <c r="N343">
        <v>1</v>
      </c>
      <c r="O343">
        <v>7</v>
      </c>
      <c r="P343">
        <v>1</v>
      </c>
      <c r="Q343" t="s">
        <v>7</v>
      </c>
      <c r="W343" t="s">
        <v>885</v>
      </c>
    </row>
    <row r="344" spans="1:28">
      <c r="A344" t="s">
        <v>1021</v>
      </c>
      <c r="B344" t="s">
        <v>965</v>
      </c>
      <c r="C344">
        <v>4.4999999999999998E-2</v>
      </c>
      <c r="D344" t="s">
        <v>756</v>
      </c>
      <c r="E344" t="s">
        <v>968</v>
      </c>
      <c r="F344" t="s">
        <v>963</v>
      </c>
      <c r="G344" t="s">
        <v>961</v>
      </c>
      <c r="H344">
        <v>4.4999999999999998E-2</v>
      </c>
      <c r="J344" t="s">
        <v>1208</v>
      </c>
      <c r="K344">
        <v>107985189</v>
      </c>
      <c r="L344" s="2">
        <v>45665</v>
      </c>
      <c r="M344">
        <v>28</v>
      </c>
      <c r="N344">
        <v>1</v>
      </c>
      <c r="O344">
        <v>0</v>
      </c>
      <c r="P344">
        <v>1</v>
      </c>
      <c r="Q344" t="s">
        <v>7</v>
      </c>
      <c r="W344" t="s">
        <v>1348</v>
      </c>
    </row>
    <row r="345" spans="1:28">
      <c r="A345" t="s">
        <v>1021</v>
      </c>
      <c r="B345" t="s">
        <v>965</v>
      </c>
      <c r="C345">
        <v>4.7E-2</v>
      </c>
      <c r="D345" t="s">
        <v>756</v>
      </c>
      <c r="E345" t="s">
        <v>968</v>
      </c>
      <c r="F345" t="s">
        <v>963</v>
      </c>
      <c r="G345" t="s">
        <v>961</v>
      </c>
      <c r="H345">
        <v>4.7E-2</v>
      </c>
      <c r="J345" t="s">
        <v>1208</v>
      </c>
      <c r="K345">
        <v>108604623</v>
      </c>
      <c r="L345" s="2">
        <v>46263</v>
      </c>
      <c r="M345">
        <v>24</v>
      </c>
      <c r="N345">
        <v>1</v>
      </c>
      <c r="O345">
        <v>0</v>
      </c>
      <c r="P345">
        <v>1</v>
      </c>
      <c r="Q345" t="s">
        <v>3</v>
      </c>
      <c r="W345" t="s">
        <v>1212</v>
      </c>
      <c r="X345" t="s">
        <v>1213</v>
      </c>
      <c r="AB345" t="s">
        <v>1214</v>
      </c>
    </row>
    <row r="346" spans="1:28">
      <c r="A346" t="s">
        <v>1021</v>
      </c>
      <c r="B346" t="s">
        <v>965</v>
      </c>
      <c r="C346">
        <v>5.7000000000000002E-2</v>
      </c>
      <c r="D346" t="s">
        <v>756</v>
      </c>
      <c r="E346" t="s">
        <v>968</v>
      </c>
      <c r="F346" t="s">
        <v>967</v>
      </c>
      <c r="G346" t="s">
        <v>961</v>
      </c>
      <c r="H346">
        <v>5.7000000000000002E-2</v>
      </c>
      <c r="J346" t="s">
        <v>1208</v>
      </c>
      <c r="K346">
        <v>105720587</v>
      </c>
      <c r="L346" s="2">
        <v>43410</v>
      </c>
      <c r="M346">
        <v>21</v>
      </c>
      <c r="N346">
        <v>1</v>
      </c>
      <c r="O346">
        <v>0</v>
      </c>
      <c r="P346">
        <v>1</v>
      </c>
      <c r="Q346" t="s">
        <v>3</v>
      </c>
      <c r="W346" t="s">
        <v>1348</v>
      </c>
    </row>
    <row r="347" spans="1:28">
      <c r="A347" t="s">
        <v>1021</v>
      </c>
      <c r="B347" t="s">
        <v>965</v>
      </c>
      <c r="C347">
        <v>5.7000000000000002E-2</v>
      </c>
      <c r="D347" t="s">
        <v>756</v>
      </c>
      <c r="E347" t="s">
        <v>968</v>
      </c>
      <c r="G347" t="s">
        <v>961</v>
      </c>
      <c r="H347">
        <v>5.7000000000000002E-2</v>
      </c>
      <c r="K347">
        <v>106802363</v>
      </c>
      <c r="L347" s="2">
        <v>44508</v>
      </c>
      <c r="M347">
        <v>30</v>
      </c>
      <c r="N347">
        <v>1</v>
      </c>
      <c r="O347">
        <v>8</v>
      </c>
      <c r="P347">
        <v>1</v>
      </c>
      <c r="Q347" t="s">
        <v>7</v>
      </c>
    </row>
    <row r="348" spans="1:28">
      <c r="A348" t="s">
        <v>1021</v>
      </c>
      <c r="B348" t="s">
        <v>965</v>
      </c>
      <c r="C348">
        <v>0.06</v>
      </c>
      <c r="D348" t="s">
        <v>756</v>
      </c>
      <c r="E348" t="s">
        <v>968</v>
      </c>
      <c r="F348" t="s">
        <v>967</v>
      </c>
      <c r="G348" t="s">
        <v>961</v>
      </c>
      <c r="H348">
        <v>0.06</v>
      </c>
      <c r="J348" t="s">
        <v>1208</v>
      </c>
      <c r="K348">
        <v>106284002</v>
      </c>
      <c r="L348" s="2">
        <v>43967</v>
      </c>
      <c r="M348">
        <v>25</v>
      </c>
      <c r="N348">
        <v>1</v>
      </c>
      <c r="O348">
        <v>8</v>
      </c>
      <c r="P348">
        <v>1</v>
      </c>
      <c r="Q348" t="s">
        <v>8</v>
      </c>
      <c r="W348" t="s">
        <v>1347</v>
      </c>
    </row>
    <row r="349" spans="1:28">
      <c r="A349" t="s">
        <v>1021</v>
      </c>
      <c r="B349" t="s">
        <v>965</v>
      </c>
      <c r="C349">
        <v>6.6000000000000003E-2</v>
      </c>
      <c r="D349" t="s">
        <v>756</v>
      </c>
      <c r="E349" t="s">
        <v>968</v>
      </c>
      <c r="F349" t="s">
        <v>963</v>
      </c>
      <c r="G349" t="s">
        <v>961</v>
      </c>
      <c r="H349">
        <v>6.6000000000000003E-2</v>
      </c>
      <c r="J349" t="s">
        <v>1208</v>
      </c>
      <c r="K349">
        <v>106961672</v>
      </c>
      <c r="L349" s="2">
        <v>44701</v>
      </c>
      <c r="M349">
        <v>28</v>
      </c>
      <c r="N349">
        <v>1</v>
      </c>
      <c r="O349">
        <v>0</v>
      </c>
      <c r="P349">
        <v>1</v>
      </c>
      <c r="Q349" t="s">
        <v>7</v>
      </c>
      <c r="W349" t="s">
        <v>1347</v>
      </c>
    </row>
    <row r="350" spans="1:28">
      <c r="A350" t="s">
        <v>1021</v>
      </c>
      <c r="B350" t="s">
        <v>965</v>
      </c>
      <c r="C350">
        <v>0.14000000000000001</v>
      </c>
      <c r="D350" t="s">
        <v>758</v>
      </c>
      <c r="E350" t="s">
        <v>967</v>
      </c>
      <c r="F350" t="s">
        <v>968</v>
      </c>
      <c r="G350" t="s">
        <v>961</v>
      </c>
      <c r="H350">
        <v>7.0999999999999994E-2</v>
      </c>
      <c r="J350" t="s">
        <v>1208</v>
      </c>
      <c r="K350">
        <v>107149989</v>
      </c>
      <c r="L350" s="2">
        <v>44862</v>
      </c>
      <c r="M350">
        <v>21</v>
      </c>
      <c r="N350">
        <v>1</v>
      </c>
      <c r="O350">
        <v>7</v>
      </c>
      <c r="P350">
        <v>1</v>
      </c>
      <c r="Q350" t="s">
        <v>7</v>
      </c>
      <c r="W350" t="s">
        <v>885</v>
      </c>
    </row>
    <row r="351" spans="1:28">
      <c r="A351" t="s">
        <v>1021</v>
      </c>
      <c r="B351" t="s">
        <v>965</v>
      </c>
      <c r="C351">
        <v>7.5999999999999998E-2</v>
      </c>
      <c r="D351" t="s">
        <v>756</v>
      </c>
      <c r="E351" t="s">
        <v>968</v>
      </c>
      <c r="F351" t="s">
        <v>967</v>
      </c>
      <c r="G351" t="s">
        <v>961</v>
      </c>
      <c r="H351">
        <v>7.5999999999999998E-2</v>
      </c>
      <c r="J351" t="s">
        <v>1208</v>
      </c>
      <c r="K351">
        <v>106125019</v>
      </c>
      <c r="L351" s="2">
        <v>43804</v>
      </c>
      <c r="M351">
        <v>30</v>
      </c>
      <c r="N351">
        <v>1</v>
      </c>
      <c r="O351">
        <v>8</v>
      </c>
      <c r="P351">
        <v>1</v>
      </c>
      <c r="Q351" t="s">
        <v>7</v>
      </c>
      <c r="W351" t="s">
        <v>1347</v>
      </c>
    </row>
    <row r="352" spans="1:28">
      <c r="A352" t="s">
        <v>1021</v>
      </c>
      <c r="B352" t="s">
        <v>965</v>
      </c>
      <c r="C352">
        <v>0.114</v>
      </c>
      <c r="D352" t="s">
        <v>758</v>
      </c>
      <c r="E352" t="s">
        <v>967</v>
      </c>
      <c r="F352" t="s">
        <v>1111</v>
      </c>
      <c r="G352" t="s">
        <v>961</v>
      </c>
      <c r="H352">
        <v>9.7000000000000003E-2</v>
      </c>
      <c r="J352" t="s">
        <v>1208</v>
      </c>
      <c r="K352">
        <v>105934950</v>
      </c>
      <c r="L352" s="2">
        <v>43626</v>
      </c>
      <c r="M352">
        <v>30</v>
      </c>
      <c r="N352">
        <v>1</v>
      </c>
      <c r="O352">
        <v>8</v>
      </c>
      <c r="P352">
        <v>1</v>
      </c>
      <c r="Q352" t="s">
        <v>7</v>
      </c>
      <c r="W352" t="s">
        <v>1347</v>
      </c>
    </row>
    <row r="353" spans="1:28">
      <c r="A353" t="s">
        <v>1021</v>
      </c>
      <c r="B353" t="s">
        <v>965</v>
      </c>
      <c r="C353">
        <v>0.1</v>
      </c>
      <c r="D353" t="s">
        <v>756</v>
      </c>
      <c r="E353" t="s">
        <v>968</v>
      </c>
      <c r="F353" t="s">
        <v>967</v>
      </c>
      <c r="G353" t="s">
        <v>961</v>
      </c>
      <c r="H353">
        <v>0.1</v>
      </c>
      <c r="J353" t="s">
        <v>1208</v>
      </c>
      <c r="K353">
        <v>107201545</v>
      </c>
      <c r="L353" s="2">
        <v>44912</v>
      </c>
      <c r="M353">
        <v>24</v>
      </c>
      <c r="N353">
        <v>1</v>
      </c>
      <c r="O353">
        <v>8</v>
      </c>
      <c r="P353">
        <v>2</v>
      </c>
      <c r="Q353" t="s">
        <v>7</v>
      </c>
      <c r="W353" t="s">
        <v>1347</v>
      </c>
    </row>
    <row r="354" spans="1:28">
      <c r="A354" t="s">
        <v>1021</v>
      </c>
      <c r="B354" t="s">
        <v>965</v>
      </c>
      <c r="C354">
        <v>0.11</v>
      </c>
      <c r="D354" t="s">
        <v>758</v>
      </c>
      <c r="E354" t="s">
        <v>967</v>
      </c>
      <c r="F354" t="s">
        <v>968</v>
      </c>
      <c r="G354" t="s">
        <v>961</v>
      </c>
      <c r="H354">
        <v>0.10100000000000001</v>
      </c>
      <c r="J354" t="s">
        <v>1208</v>
      </c>
      <c r="K354">
        <v>107533994</v>
      </c>
      <c r="L354" s="2">
        <v>45250</v>
      </c>
      <c r="M354">
        <v>24</v>
      </c>
      <c r="N354">
        <v>1</v>
      </c>
      <c r="O354">
        <v>8</v>
      </c>
      <c r="P354">
        <v>1</v>
      </c>
      <c r="Q354" t="s">
        <v>7</v>
      </c>
      <c r="W354" t="s">
        <v>1347</v>
      </c>
    </row>
    <row r="355" spans="1:28">
      <c r="A355" t="s">
        <v>1021</v>
      </c>
      <c r="B355" t="s">
        <v>965</v>
      </c>
      <c r="C355">
        <v>0.11</v>
      </c>
      <c r="D355" t="s">
        <v>758</v>
      </c>
      <c r="E355" t="s">
        <v>967</v>
      </c>
      <c r="F355" t="s">
        <v>968</v>
      </c>
      <c r="G355" t="s">
        <v>961</v>
      </c>
      <c r="H355">
        <v>0.10100000000000001</v>
      </c>
      <c r="J355" t="s">
        <v>1208</v>
      </c>
      <c r="K355">
        <v>107635370</v>
      </c>
      <c r="L355" s="2">
        <v>45345</v>
      </c>
      <c r="M355">
        <v>30</v>
      </c>
      <c r="N355">
        <v>1</v>
      </c>
      <c r="O355">
        <v>8</v>
      </c>
      <c r="P355">
        <v>1</v>
      </c>
      <c r="Q355" t="s">
        <v>7</v>
      </c>
      <c r="W355" t="s">
        <v>1347</v>
      </c>
    </row>
    <row r="356" spans="1:28">
      <c r="A356" t="s">
        <v>1021</v>
      </c>
      <c r="B356" t="s">
        <v>965</v>
      </c>
      <c r="C356">
        <v>0.11</v>
      </c>
      <c r="D356" t="s">
        <v>758</v>
      </c>
      <c r="E356" t="s">
        <v>967</v>
      </c>
      <c r="F356" t="s">
        <v>968</v>
      </c>
      <c r="G356" t="s">
        <v>961</v>
      </c>
      <c r="H356">
        <v>0.10100000000000001</v>
      </c>
      <c r="J356" t="s">
        <v>1208</v>
      </c>
      <c r="K356">
        <v>107653473</v>
      </c>
      <c r="L356" s="2">
        <v>45362</v>
      </c>
      <c r="M356">
        <v>30</v>
      </c>
      <c r="N356">
        <v>1</v>
      </c>
      <c r="O356">
        <v>8</v>
      </c>
      <c r="P356">
        <v>1</v>
      </c>
      <c r="Q356" t="s">
        <v>7</v>
      </c>
      <c r="W356" t="s">
        <v>1347</v>
      </c>
    </row>
    <row r="357" spans="1:28">
      <c r="A357" t="s">
        <v>1021</v>
      </c>
      <c r="B357" t="s">
        <v>965</v>
      </c>
      <c r="C357">
        <v>0.109</v>
      </c>
      <c r="D357" t="s">
        <v>758</v>
      </c>
      <c r="E357" t="s">
        <v>967</v>
      </c>
      <c r="F357" t="s">
        <v>968</v>
      </c>
      <c r="G357" t="s">
        <v>961</v>
      </c>
      <c r="H357">
        <v>0.10199999999999999</v>
      </c>
      <c r="J357" t="s">
        <v>1208</v>
      </c>
      <c r="K357">
        <v>105075633</v>
      </c>
      <c r="L357" s="2">
        <v>42830</v>
      </c>
      <c r="M357">
        <v>30</v>
      </c>
      <c r="N357">
        <v>1</v>
      </c>
      <c r="O357">
        <v>4</v>
      </c>
      <c r="P357">
        <v>1</v>
      </c>
      <c r="Q357" t="s">
        <v>3</v>
      </c>
      <c r="W357" t="s">
        <v>1347</v>
      </c>
    </row>
    <row r="358" spans="1:28">
      <c r="A358" t="s">
        <v>1021</v>
      </c>
      <c r="B358" t="s">
        <v>965</v>
      </c>
      <c r="C358">
        <v>0.1</v>
      </c>
      <c r="D358" t="s">
        <v>758</v>
      </c>
      <c r="E358" t="s">
        <v>967</v>
      </c>
      <c r="F358" t="s">
        <v>1117</v>
      </c>
      <c r="G358" t="s">
        <v>961</v>
      </c>
      <c r="H358">
        <v>0.111</v>
      </c>
      <c r="J358" t="s">
        <v>1208</v>
      </c>
      <c r="K358">
        <v>105984036</v>
      </c>
      <c r="L358" s="2">
        <v>43700</v>
      </c>
      <c r="M358">
        <v>30</v>
      </c>
      <c r="N358">
        <v>1</v>
      </c>
      <c r="O358">
        <v>8</v>
      </c>
      <c r="P358">
        <v>1</v>
      </c>
      <c r="Q358" t="s">
        <v>7</v>
      </c>
      <c r="W358" t="s">
        <v>1347</v>
      </c>
    </row>
    <row r="359" spans="1:28">
      <c r="A359" t="s">
        <v>1021</v>
      </c>
      <c r="B359" t="s">
        <v>965</v>
      </c>
      <c r="C359">
        <v>0.1</v>
      </c>
      <c r="D359" t="s">
        <v>758</v>
      </c>
      <c r="E359" t="s">
        <v>967</v>
      </c>
      <c r="F359" t="s">
        <v>1082</v>
      </c>
      <c r="G359" t="s">
        <v>961</v>
      </c>
      <c r="H359">
        <v>0.111</v>
      </c>
      <c r="J359" t="s">
        <v>1208</v>
      </c>
      <c r="K359">
        <v>105532282</v>
      </c>
      <c r="L359" s="2">
        <v>43266</v>
      </c>
      <c r="M359">
        <v>30</v>
      </c>
      <c r="N359">
        <v>1</v>
      </c>
      <c r="O359">
        <v>8</v>
      </c>
      <c r="P359">
        <v>1</v>
      </c>
      <c r="Q359" t="s">
        <v>3</v>
      </c>
      <c r="W359" t="s">
        <v>1347</v>
      </c>
    </row>
    <row r="360" spans="1:28">
      <c r="A360" t="s">
        <v>1021</v>
      </c>
      <c r="B360" t="s">
        <v>965</v>
      </c>
      <c r="C360">
        <v>0.1</v>
      </c>
      <c r="D360" t="s">
        <v>758</v>
      </c>
      <c r="E360" t="s">
        <v>967</v>
      </c>
      <c r="F360" t="s">
        <v>1084</v>
      </c>
      <c r="G360" t="s">
        <v>961</v>
      </c>
      <c r="H360">
        <v>0.111</v>
      </c>
      <c r="J360" t="s">
        <v>1208</v>
      </c>
      <c r="K360">
        <v>105329622</v>
      </c>
      <c r="L360" s="2">
        <v>43079</v>
      </c>
      <c r="M360">
        <v>24</v>
      </c>
      <c r="N360">
        <v>1</v>
      </c>
      <c r="O360">
        <v>8</v>
      </c>
      <c r="P360">
        <v>1</v>
      </c>
      <c r="Q360" t="s">
        <v>3</v>
      </c>
      <c r="W360" t="s">
        <v>1347</v>
      </c>
    </row>
    <row r="361" spans="1:28">
      <c r="A361" t="s">
        <v>1021</v>
      </c>
      <c r="B361" t="s">
        <v>965</v>
      </c>
      <c r="C361">
        <v>0.1</v>
      </c>
      <c r="D361" t="s">
        <v>758</v>
      </c>
      <c r="E361" t="s">
        <v>967</v>
      </c>
      <c r="F361" t="s">
        <v>968</v>
      </c>
      <c r="G361" t="s">
        <v>961</v>
      </c>
      <c r="H361">
        <v>0.111</v>
      </c>
      <c r="J361" t="s">
        <v>1208</v>
      </c>
      <c r="K361">
        <v>106802294</v>
      </c>
      <c r="L361" s="2">
        <v>44484</v>
      </c>
      <c r="M361">
        <v>23</v>
      </c>
      <c r="N361">
        <v>1</v>
      </c>
      <c r="O361">
        <v>8</v>
      </c>
      <c r="P361">
        <v>1</v>
      </c>
      <c r="Q361" t="s">
        <v>7</v>
      </c>
      <c r="W361" t="s">
        <v>1347</v>
      </c>
    </row>
    <row r="362" spans="1:28">
      <c r="A362" t="s">
        <v>1021</v>
      </c>
      <c r="B362" t="s">
        <v>965</v>
      </c>
      <c r="C362">
        <v>0.1</v>
      </c>
      <c r="D362" t="s">
        <v>763</v>
      </c>
      <c r="E362" t="s">
        <v>967</v>
      </c>
      <c r="F362" t="s">
        <v>968</v>
      </c>
      <c r="G362" t="s">
        <v>961</v>
      </c>
      <c r="H362">
        <v>0.111</v>
      </c>
      <c r="J362" t="s">
        <v>1208</v>
      </c>
      <c r="K362">
        <v>108484532</v>
      </c>
      <c r="L362" s="2">
        <v>46145</v>
      </c>
      <c r="M362">
        <v>26</v>
      </c>
      <c r="N362">
        <v>1</v>
      </c>
      <c r="O362">
        <v>0</v>
      </c>
      <c r="P362">
        <v>1</v>
      </c>
      <c r="Q362" t="s">
        <v>7</v>
      </c>
      <c r="W362" t="s">
        <v>1347</v>
      </c>
    </row>
    <row r="363" spans="1:28">
      <c r="A363" t="s">
        <v>1021</v>
      </c>
      <c r="B363" t="s">
        <v>965</v>
      </c>
      <c r="C363">
        <v>0.1</v>
      </c>
      <c r="D363" t="s">
        <v>758</v>
      </c>
      <c r="E363" t="s">
        <v>967</v>
      </c>
      <c r="F363" t="s">
        <v>968</v>
      </c>
      <c r="G363" t="s">
        <v>961</v>
      </c>
      <c r="H363">
        <v>0.111</v>
      </c>
      <c r="J363" t="s">
        <v>1208</v>
      </c>
      <c r="K363">
        <v>105432181</v>
      </c>
      <c r="L363" s="2">
        <v>43168</v>
      </c>
      <c r="M363">
        <v>30</v>
      </c>
      <c r="N363">
        <v>1</v>
      </c>
      <c r="O363">
        <v>8</v>
      </c>
      <c r="P363">
        <v>1</v>
      </c>
      <c r="Q363" t="s">
        <v>7</v>
      </c>
      <c r="W363" t="s">
        <v>1347</v>
      </c>
    </row>
    <row r="364" spans="1:28">
      <c r="A364" t="s">
        <v>1021</v>
      </c>
      <c r="B364" t="s">
        <v>965</v>
      </c>
      <c r="C364">
        <v>0.1</v>
      </c>
      <c r="D364" t="s">
        <v>758</v>
      </c>
      <c r="E364" t="s">
        <v>967</v>
      </c>
      <c r="F364" t="s">
        <v>968</v>
      </c>
      <c r="G364" t="s">
        <v>961</v>
      </c>
      <c r="H364">
        <v>0.111</v>
      </c>
      <c r="J364" t="s">
        <v>1208</v>
      </c>
      <c r="K364">
        <v>105645894</v>
      </c>
      <c r="L364" s="2">
        <v>43385</v>
      </c>
      <c r="M364">
        <v>30</v>
      </c>
      <c r="N364">
        <v>1</v>
      </c>
      <c r="O364">
        <v>8</v>
      </c>
      <c r="P364">
        <v>1</v>
      </c>
      <c r="Q364" t="s">
        <v>7</v>
      </c>
      <c r="W364" t="s">
        <v>1347</v>
      </c>
    </row>
    <row r="365" spans="1:28">
      <c r="A365" t="s">
        <v>1021</v>
      </c>
      <c r="B365" t="s">
        <v>965</v>
      </c>
      <c r="C365">
        <v>0.1</v>
      </c>
      <c r="D365" t="s">
        <v>758</v>
      </c>
      <c r="E365" t="s">
        <v>967</v>
      </c>
      <c r="F365" t="s">
        <v>968</v>
      </c>
      <c r="G365" t="s">
        <v>961</v>
      </c>
      <c r="H365">
        <v>0.111</v>
      </c>
      <c r="J365" t="s">
        <v>1208</v>
      </c>
      <c r="K365">
        <v>106000020</v>
      </c>
      <c r="L365" s="2">
        <v>43706</v>
      </c>
      <c r="M365">
        <v>30</v>
      </c>
      <c r="N365">
        <v>1</v>
      </c>
      <c r="O365">
        <v>8</v>
      </c>
      <c r="P365">
        <v>1</v>
      </c>
      <c r="Q365" t="s">
        <v>3</v>
      </c>
      <c r="W365" t="s">
        <v>1347</v>
      </c>
    </row>
    <row r="366" spans="1:28">
      <c r="A366" t="s">
        <v>1021</v>
      </c>
      <c r="B366" t="s">
        <v>965</v>
      </c>
      <c r="C366">
        <v>0.1</v>
      </c>
      <c r="D366" t="s">
        <v>758</v>
      </c>
      <c r="E366" t="s">
        <v>967</v>
      </c>
      <c r="F366" t="s">
        <v>968</v>
      </c>
      <c r="G366" t="s">
        <v>961</v>
      </c>
      <c r="H366">
        <v>0.111</v>
      </c>
      <c r="J366" t="s">
        <v>1208</v>
      </c>
      <c r="K366">
        <v>106482329</v>
      </c>
      <c r="L366" s="2">
        <v>44183</v>
      </c>
      <c r="M366">
        <v>30</v>
      </c>
      <c r="N366">
        <v>1</v>
      </c>
      <c r="O366">
        <v>8</v>
      </c>
      <c r="P366">
        <v>1</v>
      </c>
      <c r="Q366" t="s">
        <v>7</v>
      </c>
      <c r="W366" t="s">
        <v>1347</v>
      </c>
    </row>
    <row r="367" spans="1:28">
      <c r="A367" t="s">
        <v>1021</v>
      </c>
      <c r="B367" t="s">
        <v>965</v>
      </c>
      <c r="C367">
        <v>0.1</v>
      </c>
      <c r="D367" t="s">
        <v>758</v>
      </c>
      <c r="E367" t="s">
        <v>967</v>
      </c>
      <c r="F367" t="s">
        <v>968</v>
      </c>
      <c r="G367" t="s">
        <v>961</v>
      </c>
      <c r="H367">
        <v>0.111</v>
      </c>
      <c r="J367" t="s">
        <v>1208</v>
      </c>
      <c r="K367">
        <v>107251468</v>
      </c>
      <c r="L367" s="2">
        <v>44979</v>
      </c>
      <c r="M367">
        <v>30</v>
      </c>
      <c r="N367">
        <v>1</v>
      </c>
      <c r="O367">
        <v>8</v>
      </c>
      <c r="P367">
        <v>1</v>
      </c>
      <c r="Q367" t="s">
        <v>3</v>
      </c>
      <c r="W367" t="s">
        <v>1347</v>
      </c>
    </row>
    <row r="368" spans="1:28">
      <c r="A368" t="s">
        <v>1021</v>
      </c>
      <c r="B368" t="s">
        <v>965</v>
      </c>
      <c r="C368">
        <v>0.09</v>
      </c>
      <c r="D368" t="s">
        <v>758</v>
      </c>
      <c r="E368" t="s">
        <v>967</v>
      </c>
      <c r="F368" t="s">
        <v>968</v>
      </c>
      <c r="G368" t="s">
        <v>961</v>
      </c>
      <c r="H368">
        <v>0.121</v>
      </c>
      <c r="J368" t="s">
        <v>1208</v>
      </c>
      <c r="K368">
        <v>106850905</v>
      </c>
      <c r="L368" s="2">
        <v>44595</v>
      </c>
      <c r="M368">
        <v>30</v>
      </c>
      <c r="N368">
        <v>1</v>
      </c>
      <c r="O368">
        <v>8</v>
      </c>
      <c r="P368">
        <v>1</v>
      </c>
      <c r="Q368" t="s">
        <v>7</v>
      </c>
      <c r="W368" t="s">
        <v>1215</v>
      </c>
      <c r="X368" t="s">
        <v>1216</v>
      </c>
      <c r="AB368" t="s">
        <v>1217</v>
      </c>
    </row>
    <row r="369" spans="1:28">
      <c r="A369" t="s">
        <v>1021</v>
      </c>
      <c r="B369" t="s">
        <v>965</v>
      </c>
      <c r="C369">
        <v>8.5000000000000006E-2</v>
      </c>
      <c r="D369" t="s">
        <v>758</v>
      </c>
      <c r="E369" t="s">
        <v>967</v>
      </c>
      <c r="F369" t="s">
        <v>968</v>
      </c>
      <c r="G369" t="s">
        <v>961</v>
      </c>
      <c r="H369">
        <v>0.126</v>
      </c>
      <c r="J369" t="s">
        <v>1208</v>
      </c>
      <c r="K369">
        <v>107108479</v>
      </c>
      <c r="L369" s="2">
        <v>44846</v>
      </c>
      <c r="M369">
        <v>21</v>
      </c>
      <c r="N369">
        <v>1</v>
      </c>
      <c r="O369">
        <v>0</v>
      </c>
      <c r="P369">
        <v>1</v>
      </c>
      <c r="Q369" t="s">
        <v>7</v>
      </c>
      <c r="W369" t="s">
        <v>1218</v>
      </c>
      <c r="X369" t="s">
        <v>1219</v>
      </c>
      <c r="AB369" t="s">
        <v>1220</v>
      </c>
    </row>
    <row r="370" spans="1:28">
      <c r="A370" t="s">
        <v>1021</v>
      </c>
      <c r="B370" t="s">
        <v>965</v>
      </c>
      <c r="C370">
        <v>7.5999999999999998E-2</v>
      </c>
      <c r="D370" t="s">
        <v>758</v>
      </c>
      <c r="E370" t="s">
        <v>963</v>
      </c>
      <c r="F370" t="s">
        <v>968</v>
      </c>
      <c r="G370" t="s">
        <v>961</v>
      </c>
      <c r="H370">
        <v>0.13500000000000001</v>
      </c>
      <c r="J370" t="s">
        <v>1208</v>
      </c>
      <c r="K370">
        <v>107574287</v>
      </c>
      <c r="L370" s="2">
        <v>45283</v>
      </c>
      <c r="M370">
        <v>21</v>
      </c>
      <c r="N370">
        <v>1</v>
      </c>
      <c r="O370">
        <v>0</v>
      </c>
      <c r="P370">
        <v>1</v>
      </c>
      <c r="Q370" t="s">
        <v>7</v>
      </c>
      <c r="W370" t="s">
        <v>1221</v>
      </c>
      <c r="X370" t="s">
        <v>1219</v>
      </c>
      <c r="AB370" t="s">
        <v>1222</v>
      </c>
    </row>
    <row r="371" spans="1:28">
      <c r="A371" t="s">
        <v>1021</v>
      </c>
      <c r="B371" t="s">
        <v>965</v>
      </c>
      <c r="C371">
        <v>7.5999999999999998E-2</v>
      </c>
      <c r="D371" t="s">
        <v>758</v>
      </c>
      <c r="E371" t="s">
        <v>967</v>
      </c>
      <c r="F371" t="s">
        <v>968</v>
      </c>
      <c r="G371" t="s">
        <v>961</v>
      </c>
      <c r="H371">
        <v>0.13500000000000001</v>
      </c>
      <c r="J371" t="s">
        <v>1208</v>
      </c>
      <c r="K371">
        <v>106802440</v>
      </c>
      <c r="L371" s="2">
        <v>44537</v>
      </c>
      <c r="M371">
        <v>30</v>
      </c>
      <c r="N371">
        <v>1</v>
      </c>
      <c r="O371">
        <v>0</v>
      </c>
      <c r="P371">
        <v>1</v>
      </c>
      <c r="Q371" t="s">
        <v>7</v>
      </c>
      <c r="W371" t="s">
        <v>1223</v>
      </c>
      <c r="X371" t="s">
        <v>1219</v>
      </c>
      <c r="AB371" t="s">
        <v>1224</v>
      </c>
    </row>
    <row r="372" spans="1:28">
      <c r="A372" t="s">
        <v>1021</v>
      </c>
      <c r="B372" t="s">
        <v>965</v>
      </c>
      <c r="C372">
        <v>0.13800000000000001</v>
      </c>
      <c r="D372" t="s">
        <v>756</v>
      </c>
      <c r="E372" t="s">
        <v>968</v>
      </c>
      <c r="F372" t="s">
        <v>967</v>
      </c>
      <c r="G372" t="s">
        <v>961</v>
      </c>
      <c r="H372">
        <v>0.13800000000000001</v>
      </c>
      <c r="J372" t="s">
        <v>1208</v>
      </c>
      <c r="K372">
        <v>108421756</v>
      </c>
      <c r="L372" s="2">
        <v>46086</v>
      </c>
      <c r="M372">
        <v>28</v>
      </c>
      <c r="N372">
        <v>1</v>
      </c>
      <c r="O372">
        <v>0</v>
      </c>
      <c r="P372">
        <v>2</v>
      </c>
      <c r="Q372" t="s">
        <v>7</v>
      </c>
      <c r="W372" t="s">
        <v>1225</v>
      </c>
      <c r="X372" t="s">
        <v>1226</v>
      </c>
      <c r="AB372" t="s">
        <v>1227</v>
      </c>
    </row>
    <row r="373" spans="1:28">
      <c r="A373" t="s">
        <v>1021</v>
      </c>
      <c r="B373" t="s">
        <v>965</v>
      </c>
      <c r="C373">
        <v>5.1999999999999998E-2</v>
      </c>
      <c r="D373" t="s">
        <v>758</v>
      </c>
      <c r="E373" t="s">
        <v>963</v>
      </c>
      <c r="F373" t="s">
        <v>1080</v>
      </c>
      <c r="G373" t="s">
        <v>961</v>
      </c>
      <c r="H373">
        <v>0.159</v>
      </c>
      <c r="J373" t="s">
        <v>1208</v>
      </c>
      <c r="K373">
        <v>106502440</v>
      </c>
      <c r="L373" s="2">
        <v>44195</v>
      </c>
      <c r="M373">
        <v>2</v>
      </c>
      <c r="N373">
        <v>2</v>
      </c>
      <c r="O373">
        <v>0</v>
      </c>
      <c r="P373">
        <v>4</v>
      </c>
      <c r="Q373" t="s">
        <v>7</v>
      </c>
      <c r="W373" t="s">
        <v>1228</v>
      </c>
      <c r="X373" t="s">
        <v>1229</v>
      </c>
      <c r="AB373" t="s">
        <v>1230</v>
      </c>
    </row>
    <row r="374" spans="1:28">
      <c r="A374" t="s">
        <v>1021</v>
      </c>
      <c r="B374" t="s">
        <v>965</v>
      </c>
      <c r="C374">
        <v>0.05</v>
      </c>
      <c r="D374" t="s">
        <v>758</v>
      </c>
      <c r="E374" t="s">
        <v>967</v>
      </c>
      <c r="F374" t="s">
        <v>968</v>
      </c>
      <c r="G374" t="s">
        <v>961</v>
      </c>
      <c r="H374">
        <v>0.161</v>
      </c>
      <c r="J374" t="s">
        <v>1208</v>
      </c>
      <c r="K374">
        <v>107458368</v>
      </c>
      <c r="L374" s="2">
        <v>45180</v>
      </c>
      <c r="M374">
        <v>1</v>
      </c>
      <c r="N374">
        <v>1</v>
      </c>
      <c r="O374">
        <v>4</v>
      </c>
      <c r="P374">
        <v>1</v>
      </c>
      <c r="Q374" t="s">
        <v>9</v>
      </c>
      <c r="W374" t="s">
        <v>1231</v>
      </c>
      <c r="X374" t="s">
        <v>1232</v>
      </c>
      <c r="AB374" t="s">
        <v>1233</v>
      </c>
    </row>
    <row r="375" spans="1:28">
      <c r="A375" t="s">
        <v>1021</v>
      </c>
      <c r="B375" t="s">
        <v>965</v>
      </c>
      <c r="C375">
        <v>3.7999999999999999E-2</v>
      </c>
      <c r="D375" t="s">
        <v>758</v>
      </c>
      <c r="E375" t="s">
        <v>967</v>
      </c>
      <c r="F375" t="s">
        <v>968</v>
      </c>
      <c r="G375" t="s">
        <v>961</v>
      </c>
      <c r="H375">
        <v>0.17299999999999999</v>
      </c>
      <c r="J375" t="s">
        <v>1208</v>
      </c>
      <c r="K375">
        <v>107440089</v>
      </c>
      <c r="L375" s="2">
        <v>45166</v>
      </c>
      <c r="M375">
        <v>28</v>
      </c>
      <c r="N375">
        <v>1</v>
      </c>
      <c r="O375">
        <v>0</v>
      </c>
      <c r="P375">
        <v>1</v>
      </c>
      <c r="Q375" t="s">
        <v>7</v>
      </c>
      <c r="W375" t="s">
        <v>1234</v>
      </c>
      <c r="X375" t="s">
        <v>1226</v>
      </c>
      <c r="AB375" t="s">
        <v>1235</v>
      </c>
    </row>
    <row r="376" spans="1:28">
      <c r="A376" t="s">
        <v>1021</v>
      </c>
      <c r="B376" t="s">
        <v>965</v>
      </c>
      <c r="C376">
        <v>2.4E-2</v>
      </c>
      <c r="D376" t="s">
        <v>758</v>
      </c>
      <c r="E376" t="s">
        <v>967</v>
      </c>
      <c r="F376" t="s">
        <v>968</v>
      </c>
      <c r="G376" t="s">
        <v>961</v>
      </c>
      <c r="H376">
        <v>0.187</v>
      </c>
      <c r="J376" t="s">
        <v>769</v>
      </c>
      <c r="K376">
        <v>107495942</v>
      </c>
      <c r="L376" s="2">
        <v>45217</v>
      </c>
      <c r="M376">
        <v>30</v>
      </c>
      <c r="N376">
        <v>1</v>
      </c>
      <c r="O376">
        <v>7</v>
      </c>
      <c r="P376">
        <v>1</v>
      </c>
      <c r="Q376" t="s">
        <v>7</v>
      </c>
      <c r="X376" t="s">
        <v>1236</v>
      </c>
      <c r="Y376" t="s">
        <v>1237</v>
      </c>
      <c r="Z376" t="s">
        <v>1238</v>
      </c>
      <c r="AA376" t="s">
        <v>724</v>
      </c>
    </row>
    <row r="377" spans="1:28">
      <c r="A377" t="s">
        <v>1021</v>
      </c>
      <c r="B377" t="s">
        <v>965</v>
      </c>
      <c r="C377">
        <v>1.2E-2</v>
      </c>
      <c r="D377" t="s">
        <v>764</v>
      </c>
      <c r="E377" t="s">
        <v>967</v>
      </c>
      <c r="F377" t="s">
        <v>1020</v>
      </c>
      <c r="G377" t="s">
        <v>961</v>
      </c>
      <c r="H377">
        <v>0.19900000000000001</v>
      </c>
      <c r="J377" t="s">
        <v>769</v>
      </c>
      <c r="K377">
        <v>108527871</v>
      </c>
      <c r="L377" s="2">
        <v>46185</v>
      </c>
      <c r="M377">
        <v>2</v>
      </c>
      <c r="N377">
        <v>1</v>
      </c>
      <c r="O377">
        <v>7</v>
      </c>
      <c r="P377">
        <v>1</v>
      </c>
      <c r="Q377" t="s">
        <v>8</v>
      </c>
      <c r="X377" t="s">
        <v>1239</v>
      </c>
      <c r="Y377" t="s">
        <v>1240</v>
      </c>
      <c r="AA377" t="s">
        <v>723</v>
      </c>
    </row>
    <row r="378" spans="1:28">
      <c r="A378" t="s">
        <v>1021</v>
      </c>
      <c r="B378" t="s">
        <v>965</v>
      </c>
      <c r="C378">
        <v>0.01</v>
      </c>
      <c r="D378" t="s">
        <v>758</v>
      </c>
      <c r="E378" t="s">
        <v>967</v>
      </c>
      <c r="F378" t="s">
        <v>968</v>
      </c>
      <c r="G378" t="s">
        <v>961</v>
      </c>
      <c r="H378">
        <v>0.20100000000000001</v>
      </c>
      <c r="J378" t="s">
        <v>769</v>
      </c>
      <c r="K378">
        <v>106802024</v>
      </c>
      <c r="L378" s="2">
        <v>44342</v>
      </c>
      <c r="M378">
        <v>21</v>
      </c>
      <c r="N378">
        <v>1</v>
      </c>
      <c r="O378">
        <v>0</v>
      </c>
      <c r="P378">
        <v>1</v>
      </c>
      <c r="Q378" t="s">
        <v>7</v>
      </c>
      <c r="X378" t="s">
        <v>1219</v>
      </c>
      <c r="Y378" t="s">
        <v>1238</v>
      </c>
      <c r="Z378" t="s">
        <v>1241</v>
      </c>
      <c r="AA378" t="s">
        <v>724</v>
      </c>
    </row>
    <row r="379" spans="1:28">
      <c r="A379" t="s">
        <v>1021</v>
      </c>
      <c r="B379" t="s">
        <v>965</v>
      </c>
      <c r="C379">
        <v>0.01</v>
      </c>
      <c r="D379" t="s">
        <v>758</v>
      </c>
      <c r="E379" t="s">
        <v>967</v>
      </c>
      <c r="F379" t="s">
        <v>968</v>
      </c>
      <c r="G379" t="s">
        <v>961</v>
      </c>
      <c r="H379">
        <v>0.20100000000000001</v>
      </c>
      <c r="J379" t="s">
        <v>769</v>
      </c>
      <c r="K379">
        <v>104999009</v>
      </c>
      <c r="L379" s="2">
        <v>42739</v>
      </c>
      <c r="M379">
        <v>30</v>
      </c>
      <c r="N379">
        <v>1</v>
      </c>
      <c r="O379">
        <v>4</v>
      </c>
      <c r="P379">
        <v>1</v>
      </c>
      <c r="Q379" t="s">
        <v>7</v>
      </c>
      <c r="X379" t="s">
        <v>1242</v>
      </c>
      <c r="Y379" t="s">
        <v>771</v>
      </c>
      <c r="Z379" t="s">
        <v>1238</v>
      </c>
      <c r="AA379" t="s">
        <v>722</v>
      </c>
    </row>
    <row r="380" spans="1:28">
      <c r="A380" t="s">
        <v>1021</v>
      </c>
      <c r="B380" t="s">
        <v>965</v>
      </c>
      <c r="C380">
        <v>8.9999999999999993E-3</v>
      </c>
      <c r="D380" t="s">
        <v>758</v>
      </c>
      <c r="E380" t="s">
        <v>963</v>
      </c>
      <c r="F380" t="s">
        <v>968</v>
      </c>
      <c r="G380" t="s">
        <v>961</v>
      </c>
      <c r="H380">
        <v>0.20200000000000001</v>
      </c>
      <c r="J380" t="s">
        <v>769</v>
      </c>
      <c r="K380">
        <v>107713399</v>
      </c>
      <c r="L380" s="2">
        <v>45399</v>
      </c>
      <c r="M380">
        <v>21</v>
      </c>
      <c r="N380">
        <v>1</v>
      </c>
      <c r="O380">
        <v>12</v>
      </c>
      <c r="P380">
        <v>1</v>
      </c>
      <c r="Q380" t="s">
        <v>7</v>
      </c>
      <c r="X380" t="s">
        <v>1243</v>
      </c>
      <c r="Y380" t="s">
        <v>774</v>
      </c>
      <c r="Z380" t="s">
        <v>1244</v>
      </c>
      <c r="AA380" t="s">
        <v>723</v>
      </c>
    </row>
    <row r="381" spans="1:28">
      <c r="A381" t="s">
        <v>1021</v>
      </c>
      <c r="B381" t="s">
        <v>965</v>
      </c>
      <c r="C381">
        <v>8.9999999999999993E-3</v>
      </c>
      <c r="D381" t="s">
        <v>758</v>
      </c>
      <c r="E381" t="s">
        <v>963</v>
      </c>
      <c r="F381" t="s">
        <v>968</v>
      </c>
      <c r="G381" t="s">
        <v>961</v>
      </c>
      <c r="H381">
        <v>0.20200000000000001</v>
      </c>
      <c r="J381" t="s">
        <v>769</v>
      </c>
      <c r="K381">
        <v>106812334</v>
      </c>
      <c r="L381" s="2">
        <v>44553</v>
      </c>
      <c r="M381">
        <v>24</v>
      </c>
      <c r="N381">
        <v>1</v>
      </c>
      <c r="O381">
        <v>0</v>
      </c>
      <c r="P381">
        <v>1</v>
      </c>
      <c r="Q381" t="s">
        <v>7</v>
      </c>
      <c r="X381" t="s">
        <v>1245</v>
      </c>
      <c r="Y381" t="s">
        <v>1240</v>
      </c>
      <c r="Z381" t="s">
        <v>774</v>
      </c>
      <c r="AA381" t="s">
        <v>723</v>
      </c>
    </row>
    <row r="382" spans="1:28">
      <c r="A382" t="s">
        <v>754</v>
      </c>
      <c r="B382" t="s">
        <v>965</v>
      </c>
      <c r="C382">
        <v>4.0000000000000001E-3</v>
      </c>
      <c r="D382" t="s">
        <v>758</v>
      </c>
      <c r="E382" t="s">
        <v>967</v>
      </c>
      <c r="F382" t="s">
        <v>1020</v>
      </c>
      <c r="G382" t="s">
        <v>961</v>
      </c>
      <c r="H382">
        <v>0.20699999999999999</v>
      </c>
      <c r="J382" t="s">
        <v>769</v>
      </c>
      <c r="K382">
        <v>106231607</v>
      </c>
      <c r="L382" s="2">
        <v>43901</v>
      </c>
      <c r="M382">
        <v>28</v>
      </c>
      <c r="N382">
        <v>1</v>
      </c>
      <c r="O382">
        <v>7</v>
      </c>
      <c r="P382">
        <v>1</v>
      </c>
      <c r="Q382" t="s">
        <v>7</v>
      </c>
      <c r="X382" t="s">
        <v>1226</v>
      </c>
      <c r="Y382" t="s">
        <v>1246</v>
      </c>
      <c r="Z382" t="s">
        <v>774</v>
      </c>
      <c r="AA382" t="s">
        <v>723</v>
      </c>
    </row>
    <row r="383" spans="1:28">
      <c r="A383" t="s">
        <v>1021</v>
      </c>
      <c r="B383" t="s">
        <v>965</v>
      </c>
      <c r="C383">
        <v>4.0000000000000001E-3</v>
      </c>
      <c r="D383" t="s">
        <v>758</v>
      </c>
      <c r="E383" t="s">
        <v>967</v>
      </c>
      <c r="F383" t="s">
        <v>1020</v>
      </c>
      <c r="G383" t="s">
        <v>961</v>
      </c>
      <c r="H383">
        <v>0.20699999999999999</v>
      </c>
      <c r="J383" t="s">
        <v>769</v>
      </c>
      <c r="K383">
        <v>106223033</v>
      </c>
      <c r="L383" s="2">
        <v>43901</v>
      </c>
      <c r="M383">
        <v>28</v>
      </c>
      <c r="N383">
        <v>1</v>
      </c>
      <c r="O383">
        <v>7</v>
      </c>
      <c r="P383">
        <v>1</v>
      </c>
      <c r="Q383" t="s">
        <v>7</v>
      </c>
      <c r="X383" t="s">
        <v>1226</v>
      </c>
      <c r="Y383" t="s">
        <v>1246</v>
      </c>
      <c r="Z383" t="s">
        <v>774</v>
      </c>
      <c r="AA383" t="s">
        <v>723</v>
      </c>
    </row>
    <row r="384" spans="1:28">
      <c r="A384" t="s">
        <v>1021</v>
      </c>
      <c r="B384" t="s">
        <v>965</v>
      </c>
      <c r="C384">
        <v>4.0000000000000001E-3</v>
      </c>
      <c r="D384" t="s">
        <v>758</v>
      </c>
      <c r="E384" t="s">
        <v>967</v>
      </c>
      <c r="F384" t="s">
        <v>968</v>
      </c>
      <c r="G384" t="s">
        <v>961</v>
      </c>
      <c r="H384">
        <v>0.20699999999999999</v>
      </c>
      <c r="J384" t="s">
        <v>769</v>
      </c>
      <c r="K384">
        <v>106350413</v>
      </c>
      <c r="L384" s="2">
        <v>44069</v>
      </c>
      <c r="M384">
        <v>21</v>
      </c>
      <c r="N384">
        <v>1</v>
      </c>
      <c r="P384">
        <v>1</v>
      </c>
      <c r="Q384" t="s">
        <v>7</v>
      </c>
      <c r="X384" t="s">
        <v>1219</v>
      </c>
      <c r="Y384" t="s">
        <v>1247</v>
      </c>
      <c r="Z384" t="s">
        <v>1247</v>
      </c>
      <c r="AA384" t="s">
        <v>724</v>
      </c>
    </row>
    <row r="385" spans="1:28">
      <c r="A385" t="s">
        <v>1021</v>
      </c>
      <c r="B385" t="s">
        <v>965</v>
      </c>
      <c r="C385">
        <v>0</v>
      </c>
      <c r="E385" t="s">
        <v>963</v>
      </c>
      <c r="F385" t="s">
        <v>1023</v>
      </c>
      <c r="G385" t="s">
        <v>961</v>
      </c>
      <c r="H385">
        <v>0.21099999999999999</v>
      </c>
      <c r="J385" t="s">
        <v>769</v>
      </c>
      <c r="K385">
        <v>107051745</v>
      </c>
      <c r="L385" s="2">
        <v>44793</v>
      </c>
      <c r="M385">
        <v>23</v>
      </c>
      <c r="N385">
        <v>1</v>
      </c>
      <c r="O385">
        <v>7</v>
      </c>
      <c r="P385">
        <v>1</v>
      </c>
      <c r="Q385" t="s">
        <v>3</v>
      </c>
      <c r="X385" t="s">
        <v>1248</v>
      </c>
      <c r="Y385" t="s">
        <v>780</v>
      </c>
      <c r="Z385" t="s">
        <v>1238</v>
      </c>
      <c r="AA385" t="s">
        <v>724</v>
      </c>
    </row>
    <row r="386" spans="1:28">
      <c r="A386" t="s">
        <v>1021</v>
      </c>
      <c r="B386" t="s">
        <v>965</v>
      </c>
      <c r="C386">
        <v>0</v>
      </c>
      <c r="E386" t="s">
        <v>963</v>
      </c>
      <c r="F386" t="s">
        <v>1023</v>
      </c>
      <c r="G386" t="s">
        <v>961</v>
      </c>
      <c r="H386">
        <v>0.21099999999999999</v>
      </c>
      <c r="J386" t="s">
        <v>769</v>
      </c>
      <c r="K386">
        <v>107702985</v>
      </c>
      <c r="L386" s="2">
        <v>45410</v>
      </c>
      <c r="M386">
        <v>30</v>
      </c>
      <c r="N386">
        <v>1</v>
      </c>
      <c r="O386">
        <v>7</v>
      </c>
      <c r="P386">
        <v>1</v>
      </c>
      <c r="Q386" t="s">
        <v>3</v>
      </c>
      <c r="X386" t="s">
        <v>1249</v>
      </c>
      <c r="Y386" t="s">
        <v>772</v>
      </c>
      <c r="Z386" t="s">
        <v>774</v>
      </c>
      <c r="AA386" t="s">
        <v>722</v>
      </c>
    </row>
    <row r="387" spans="1:28">
      <c r="A387" t="s">
        <v>1021</v>
      </c>
      <c r="B387" t="s">
        <v>965</v>
      </c>
      <c r="C387">
        <v>0</v>
      </c>
      <c r="E387" t="s">
        <v>963</v>
      </c>
      <c r="F387" t="s">
        <v>1023</v>
      </c>
      <c r="G387" t="s">
        <v>961</v>
      </c>
      <c r="H387">
        <v>0.21099999999999999</v>
      </c>
      <c r="J387" t="s">
        <v>769</v>
      </c>
      <c r="K387">
        <v>107272557</v>
      </c>
      <c r="L387" s="2">
        <v>44999</v>
      </c>
      <c r="M387">
        <v>30</v>
      </c>
      <c r="N387">
        <v>1</v>
      </c>
      <c r="O387">
        <v>7</v>
      </c>
      <c r="P387">
        <v>1</v>
      </c>
      <c r="Q387" t="s">
        <v>3</v>
      </c>
      <c r="X387" t="s">
        <v>1250</v>
      </c>
      <c r="Y387" t="s">
        <v>774</v>
      </c>
      <c r="Z387" t="s">
        <v>781</v>
      </c>
      <c r="AA387" t="s">
        <v>723</v>
      </c>
    </row>
    <row r="388" spans="1:28">
      <c r="A388" t="s">
        <v>1021</v>
      </c>
      <c r="B388" t="s">
        <v>965</v>
      </c>
      <c r="C388">
        <v>0</v>
      </c>
      <c r="D388" t="s">
        <v>6</v>
      </c>
      <c r="E388" t="s">
        <v>963</v>
      </c>
      <c r="F388" t="s">
        <v>967</v>
      </c>
      <c r="G388" t="s">
        <v>961</v>
      </c>
      <c r="H388">
        <v>0.21099999999999999</v>
      </c>
      <c r="J388" t="s">
        <v>769</v>
      </c>
      <c r="K388">
        <v>107813734</v>
      </c>
      <c r="L388" s="2">
        <v>45516</v>
      </c>
      <c r="M388">
        <v>30</v>
      </c>
      <c r="N388">
        <v>1</v>
      </c>
      <c r="O388">
        <v>0</v>
      </c>
      <c r="P388">
        <v>1</v>
      </c>
      <c r="Q388" t="s">
        <v>7</v>
      </c>
      <c r="X388" t="s">
        <v>1251</v>
      </c>
      <c r="Y388" t="s">
        <v>1238</v>
      </c>
      <c r="Z388" t="s">
        <v>781</v>
      </c>
      <c r="AA388" t="s">
        <v>724</v>
      </c>
    </row>
    <row r="389" spans="1:28">
      <c r="A389" t="s">
        <v>1021</v>
      </c>
      <c r="B389" t="s">
        <v>965</v>
      </c>
      <c r="C389">
        <v>0</v>
      </c>
      <c r="E389" t="s">
        <v>963</v>
      </c>
      <c r="G389" t="s">
        <v>961</v>
      </c>
      <c r="H389">
        <v>0.21099999999999999</v>
      </c>
      <c r="J389" t="s">
        <v>769</v>
      </c>
      <c r="K389">
        <v>107667864</v>
      </c>
      <c r="L389" s="2">
        <v>45377</v>
      </c>
      <c r="M389">
        <v>21</v>
      </c>
      <c r="N389">
        <v>1</v>
      </c>
      <c r="O389">
        <v>7</v>
      </c>
      <c r="P389">
        <v>1</v>
      </c>
      <c r="Q389" t="s">
        <v>7</v>
      </c>
      <c r="X389" t="s">
        <v>1243</v>
      </c>
      <c r="Y389" t="s">
        <v>774</v>
      </c>
      <c r="Z389" t="s">
        <v>1244</v>
      </c>
      <c r="AA389" t="s">
        <v>723</v>
      </c>
    </row>
    <row r="390" spans="1:28">
      <c r="A390" t="s">
        <v>1021</v>
      </c>
      <c r="B390" t="s">
        <v>965</v>
      </c>
      <c r="C390">
        <v>0</v>
      </c>
      <c r="E390" t="s">
        <v>963</v>
      </c>
      <c r="G390" t="s">
        <v>961</v>
      </c>
      <c r="H390">
        <v>0.21099999999999999</v>
      </c>
      <c r="J390" t="s">
        <v>769</v>
      </c>
      <c r="K390">
        <v>105329607</v>
      </c>
      <c r="L390" s="2">
        <v>43070</v>
      </c>
      <c r="M390">
        <v>30</v>
      </c>
      <c r="N390">
        <v>1</v>
      </c>
      <c r="P390">
        <v>1</v>
      </c>
      <c r="Q390" t="s">
        <v>7</v>
      </c>
      <c r="X390" t="s">
        <v>1252</v>
      </c>
      <c r="Y390" t="s">
        <v>774</v>
      </c>
      <c r="Z390" t="s">
        <v>771</v>
      </c>
      <c r="AA390" t="s">
        <v>723</v>
      </c>
    </row>
    <row r="391" spans="1:28">
      <c r="A391" t="s">
        <v>1021</v>
      </c>
      <c r="B391" t="s">
        <v>965</v>
      </c>
      <c r="C391">
        <v>0</v>
      </c>
      <c r="E391" t="s">
        <v>967</v>
      </c>
      <c r="F391" t="s">
        <v>1141</v>
      </c>
      <c r="G391" t="s">
        <v>961</v>
      </c>
      <c r="H391">
        <v>0.21099999999999999</v>
      </c>
      <c r="J391" t="s">
        <v>769</v>
      </c>
      <c r="K391">
        <v>106915544</v>
      </c>
      <c r="L391" s="2">
        <v>44660</v>
      </c>
      <c r="M391">
        <v>28</v>
      </c>
      <c r="N391">
        <v>1</v>
      </c>
      <c r="O391">
        <v>7</v>
      </c>
      <c r="P391">
        <v>1</v>
      </c>
      <c r="Q391" t="s">
        <v>7</v>
      </c>
      <c r="X391" t="s">
        <v>1226</v>
      </c>
      <c r="Y391" t="s">
        <v>1253</v>
      </c>
      <c r="Z391" t="s">
        <v>1244</v>
      </c>
      <c r="AA391" t="s">
        <v>723</v>
      </c>
    </row>
    <row r="392" spans="1:28">
      <c r="A392" t="s">
        <v>1021</v>
      </c>
      <c r="B392" t="s">
        <v>965</v>
      </c>
      <c r="C392">
        <v>0</v>
      </c>
      <c r="D392" t="s">
        <v>756</v>
      </c>
      <c r="E392" t="s">
        <v>967</v>
      </c>
      <c r="F392" t="s">
        <v>963</v>
      </c>
      <c r="G392" t="s">
        <v>961</v>
      </c>
      <c r="H392">
        <v>0.21099999999999999</v>
      </c>
      <c r="J392" t="s">
        <v>769</v>
      </c>
      <c r="K392">
        <v>107447464</v>
      </c>
      <c r="L392" s="2">
        <v>45174</v>
      </c>
      <c r="M392">
        <v>21</v>
      </c>
      <c r="N392">
        <v>1</v>
      </c>
      <c r="O392">
        <v>7</v>
      </c>
      <c r="P392">
        <v>1</v>
      </c>
      <c r="Q392" t="s">
        <v>7</v>
      </c>
      <c r="X392" t="s">
        <v>1219</v>
      </c>
      <c r="Y392" t="s">
        <v>1238</v>
      </c>
      <c r="Z392" t="s">
        <v>1241</v>
      </c>
      <c r="AA392" t="s">
        <v>724</v>
      </c>
    </row>
    <row r="393" spans="1:28">
      <c r="A393" t="s">
        <v>1021</v>
      </c>
      <c r="B393" t="s">
        <v>965</v>
      </c>
      <c r="C393">
        <v>0</v>
      </c>
      <c r="E393" t="s">
        <v>967</v>
      </c>
      <c r="F393" t="s">
        <v>963</v>
      </c>
      <c r="G393" t="s">
        <v>961</v>
      </c>
      <c r="H393">
        <v>0.21099999999999999</v>
      </c>
      <c r="J393" t="s">
        <v>769</v>
      </c>
      <c r="K393">
        <v>107555301</v>
      </c>
      <c r="L393" s="2">
        <v>45268</v>
      </c>
      <c r="M393">
        <v>24</v>
      </c>
      <c r="N393">
        <v>1</v>
      </c>
      <c r="O393">
        <v>7</v>
      </c>
      <c r="P393">
        <v>1</v>
      </c>
      <c r="Q393" t="s">
        <v>7</v>
      </c>
      <c r="X393" t="s">
        <v>1213</v>
      </c>
      <c r="Y393" t="s">
        <v>1238</v>
      </c>
      <c r="Z393" t="s">
        <v>772</v>
      </c>
      <c r="AA393" t="s">
        <v>722</v>
      </c>
    </row>
    <row r="394" spans="1:28">
      <c r="A394" t="s">
        <v>1021</v>
      </c>
      <c r="B394" t="s">
        <v>965</v>
      </c>
      <c r="C394">
        <v>0</v>
      </c>
      <c r="E394" t="s">
        <v>967</v>
      </c>
      <c r="F394" t="s">
        <v>963</v>
      </c>
      <c r="G394" t="s">
        <v>961</v>
      </c>
      <c r="H394">
        <v>0.21099999999999999</v>
      </c>
      <c r="J394" t="s">
        <v>769</v>
      </c>
      <c r="K394">
        <v>105125296</v>
      </c>
      <c r="L394" s="2">
        <v>42878</v>
      </c>
      <c r="M394">
        <v>30</v>
      </c>
      <c r="N394">
        <v>2</v>
      </c>
      <c r="O394">
        <v>7</v>
      </c>
      <c r="P394">
        <v>1</v>
      </c>
      <c r="Q394" t="s">
        <v>7</v>
      </c>
      <c r="X394" t="s">
        <v>1254</v>
      </c>
      <c r="Y394" t="s">
        <v>772</v>
      </c>
      <c r="Z394" t="s">
        <v>781</v>
      </c>
      <c r="AA394" t="s">
        <v>722</v>
      </c>
      <c r="AB394" t="s">
        <v>1255</v>
      </c>
    </row>
    <row r="395" spans="1:28">
      <c r="A395" t="s">
        <v>1021</v>
      </c>
      <c r="B395" t="s">
        <v>965</v>
      </c>
      <c r="C395">
        <v>0</v>
      </c>
      <c r="D395" t="s">
        <v>6</v>
      </c>
      <c r="E395" t="s">
        <v>967</v>
      </c>
      <c r="F395" t="s">
        <v>963</v>
      </c>
      <c r="G395" t="s">
        <v>961</v>
      </c>
      <c r="H395">
        <v>0.21099999999999999</v>
      </c>
      <c r="J395" t="s">
        <v>769</v>
      </c>
      <c r="K395">
        <v>105984052</v>
      </c>
      <c r="L395" s="2">
        <v>43696</v>
      </c>
      <c r="M395">
        <v>30</v>
      </c>
      <c r="N395">
        <v>1</v>
      </c>
      <c r="O395">
        <v>7</v>
      </c>
      <c r="P395">
        <v>1</v>
      </c>
      <c r="Q395" t="s">
        <v>3</v>
      </c>
      <c r="X395" t="s">
        <v>1254</v>
      </c>
      <c r="Y395" t="s">
        <v>772</v>
      </c>
      <c r="Z395" t="s">
        <v>781</v>
      </c>
      <c r="AA395" t="s">
        <v>722</v>
      </c>
      <c r="AB395" t="s">
        <v>1255</v>
      </c>
    </row>
    <row r="396" spans="1:28">
      <c r="A396" t="s">
        <v>1021</v>
      </c>
      <c r="B396" t="s">
        <v>965</v>
      </c>
      <c r="C396">
        <v>0</v>
      </c>
      <c r="E396" t="s">
        <v>967</v>
      </c>
      <c r="F396" t="s">
        <v>1023</v>
      </c>
      <c r="G396" t="s">
        <v>961</v>
      </c>
      <c r="H396">
        <v>0.21099999999999999</v>
      </c>
      <c r="J396" t="s">
        <v>769</v>
      </c>
      <c r="K396">
        <v>107535374</v>
      </c>
      <c r="L396" s="2">
        <v>45251</v>
      </c>
      <c r="M396">
        <v>24</v>
      </c>
      <c r="N396">
        <v>2</v>
      </c>
      <c r="O396">
        <v>7</v>
      </c>
      <c r="P396">
        <v>1</v>
      </c>
      <c r="Q396" t="s">
        <v>7</v>
      </c>
      <c r="X396" t="s">
        <v>1216</v>
      </c>
      <c r="Y396" t="s">
        <v>772</v>
      </c>
      <c r="Z396" t="s">
        <v>774</v>
      </c>
      <c r="AA396" t="s">
        <v>722</v>
      </c>
    </row>
    <row r="397" spans="1:28">
      <c r="A397" t="s">
        <v>1021</v>
      </c>
      <c r="B397" t="s">
        <v>965</v>
      </c>
      <c r="C397">
        <v>0</v>
      </c>
      <c r="D397" t="s">
        <v>758</v>
      </c>
      <c r="E397" t="s">
        <v>967</v>
      </c>
      <c r="F397" t="s">
        <v>968</v>
      </c>
      <c r="G397" t="s">
        <v>961</v>
      </c>
      <c r="H397">
        <v>0.21099999999999999</v>
      </c>
      <c r="J397" t="s">
        <v>769</v>
      </c>
      <c r="K397">
        <v>105465438</v>
      </c>
      <c r="L397" s="2">
        <v>43209</v>
      </c>
      <c r="M397">
        <v>21</v>
      </c>
      <c r="N397">
        <v>1</v>
      </c>
      <c r="O397">
        <v>0</v>
      </c>
      <c r="P397">
        <v>1</v>
      </c>
      <c r="Q397" t="s">
        <v>7</v>
      </c>
      <c r="X397" t="s">
        <v>1219</v>
      </c>
      <c r="Y397" t="s">
        <v>1238</v>
      </c>
      <c r="Z397" t="s">
        <v>1241</v>
      </c>
      <c r="AA397" t="s">
        <v>724</v>
      </c>
    </row>
    <row r="398" spans="1:28">
      <c r="A398" t="s">
        <v>1021</v>
      </c>
      <c r="B398" t="s">
        <v>965</v>
      </c>
      <c r="C398">
        <v>0</v>
      </c>
      <c r="D398" t="s">
        <v>758</v>
      </c>
      <c r="E398" t="s">
        <v>967</v>
      </c>
      <c r="F398" t="s">
        <v>968</v>
      </c>
      <c r="G398" t="s">
        <v>961</v>
      </c>
      <c r="H398">
        <v>0.21099999999999999</v>
      </c>
      <c r="J398" t="s">
        <v>769</v>
      </c>
      <c r="K398">
        <v>107468744</v>
      </c>
      <c r="L398" s="2">
        <v>45194</v>
      </c>
      <c r="M398">
        <v>21</v>
      </c>
      <c r="N398">
        <v>1</v>
      </c>
      <c r="O398">
        <v>7</v>
      </c>
      <c r="P398">
        <v>1</v>
      </c>
      <c r="Q398" t="s">
        <v>7</v>
      </c>
      <c r="X398" t="s">
        <v>1219</v>
      </c>
      <c r="Y398" t="s">
        <v>1241</v>
      </c>
      <c r="Z398" t="s">
        <v>1238</v>
      </c>
      <c r="AA398" t="s">
        <v>724</v>
      </c>
    </row>
    <row r="399" spans="1:28">
      <c r="A399" t="s">
        <v>1021</v>
      </c>
      <c r="B399" t="s">
        <v>965</v>
      </c>
      <c r="C399">
        <v>0</v>
      </c>
      <c r="D399" t="s">
        <v>758</v>
      </c>
      <c r="E399" t="s">
        <v>967</v>
      </c>
      <c r="F399" t="s">
        <v>968</v>
      </c>
      <c r="G399" t="s">
        <v>961</v>
      </c>
      <c r="H399">
        <v>0.21099999999999999</v>
      </c>
      <c r="J399" t="s">
        <v>769</v>
      </c>
      <c r="K399">
        <v>108048149</v>
      </c>
      <c r="L399" s="2">
        <v>45729</v>
      </c>
      <c r="M399">
        <v>23</v>
      </c>
      <c r="N399">
        <v>1</v>
      </c>
      <c r="O399">
        <v>8</v>
      </c>
      <c r="P399">
        <v>1</v>
      </c>
      <c r="Q399" t="s">
        <v>7</v>
      </c>
      <c r="X399" t="s">
        <v>1256</v>
      </c>
      <c r="Y399" t="s">
        <v>1257</v>
      </c>
      <c r="Z399" t="s">
        <v>1238</v>
      </c>
      <c r="AA399" t="s">
        <v>721</v>
      </c>
    </row>
    <row r="400" spans="1:28">
      <c r="A400" t="s">
        <v>1021</v>
      </c>
      <c r="B400" t="s">
        <v>965</v>
      </c>
      <c r="C400">
        <v>0</v>
      </c>
      <c r="D400" t="s">
        <v>758</v>
      </c>
      <c r="E400" t="s">
        <v>967</v>
      </c>
      <c r="F400" t="s">
        <v>968</v>
      </c>
      <c r="G400" t="s">
        <v>961</v>
      </c>
      <c r="H400">
        <v>0.21099999999999999</v>
      </c>
      <c r="J400" t="s">
        <v>769</v>
      </c>
      <c r="K400">
        <v>106802462</v>
      </c>
      <c r="L400" s="2">
        <v>44544</v>
      </c>
      <c r="M400">
        <v>23</v>
      </c>
      <c r="N400">
        <v>1</v>
      </c>
      <c r="O400">
        <v>4</v>
      </c>
      <c r="P400">
        <v>1</v>
      </c>
      <c r="Q400" t="s">
        <v>7</v>
      </c>
      <c r="X400" t="s">
        <v>1256</v>
      </c>
      <c r="Y400" t="s">
        <v>1257</v>
      </c>
      <c r="Z400" t="s">
        <v>1238</v>
      </c>
      <c r="AA400" t="s">
        <v>721</v>
      </c>
    </row>
    <row r="401" spans="1:28">
      <c r="A401" t="s">
        <v>1021</v>
      </c>
      <c r="B401" t="s">
        <v>965</v>
      </c>
      <c r="C401">
        <v>0</v>
      </c>
      <c r="D401" t="s">
        <v>6</v>
      </c>
      <c r="E401" t="s">
        <v>967</v>
      </c>
      <c r="F401" t="s">
        <v>968</v>
      </c>
      <c r="G401" t="s">
        <v>961</v>
      </c>
      <c r="H401">
        <v>0.21099999999999999</v>
      </c>
      <c r="J401" t="s">
        <v>769</v>
      </c>
      <c r="K401">
        <v>106802009</v>
      </c>
      <c r="L401" s="2">
        <v>44334</v>
      </c>
      <c r="M401">
        <v>23</v>
      </c>
      <c r="N401">
        <v>1</v>
      </c>
      <c r="O401">
        <v>7</v>
      </c>
      <c r="P401">
        <v>1</v>
      </c>
      <c r="Q401" t="s">
        <v>7</v>
      </c>
      <c r="X401" t="s">
        <v>1256</v>
      </c>
      <c r="Y401" t="s">
        <v>1257</v>
      </c>
      <c r="Z401" t="s">
        <v>1238</v>
      </c>
      <c r="AA401" t="s">
        <v>721</v>
      </c>
    </row>
    <row r="402" spans="1:28">
      <c r="A402" t="s">
        <v>1021</v>
      </c>
      <c r="B402" t="s">
        <v>965</v>
      </c>
      <c r="C402">
        <v>0</v>
      </c>
      <c r="E402" t="s">
        <v>967</v>
      </c>
      <c r="F402" t="s">
        <v>968</v>
      </c>
      <c r="G402" t="s">
        <v>961</v>
      </c>
      <c r="H402">
        <v>0.21099999999999999</v>
      </c>
      <c r="J402" t="s">
        <v>769</v>
      </c>
      <c r="K402">
        <v>107526751</v>
      </c>
      <c r="L402" s="2">
        <v>45244</v>
      </c>
      <c r="M402">
        <v>23</v>
      </c>
      <c r="N402">
        <v>1</v>
      </c>
      <c r="O402">
        <v>0</v>
      </c>
      <c r="P402">
        <v>1</v>
      </c>
      <c r="Q402" t="s">
        <v>3</v>
      </c>
      <c r="X402" t="s">
        <v>1258</v>
      </c>
      <c r="Y402" t="s">
        <v>772</v>
      </c>
      <c r="Z402" t="s">
        <v>774</v>
      </c>
      <c r="AA402" t="s">
        <v>722</v>
      </c>
    </row>
    <row r="403" spans="1:28">
      <c r="A403" t="s">
        <v>1021</v>
      </c>
      <c r="B403" t="s">
        <v>965</v>
      </c>
      <c r="C403">
        <v>0</v>
      </c>
      <c r="E403" t="s">
        <v>967</v>
      </c>
      <c r="F403" t="s">
        <v>968</v>
      </c>
      <c r="G403" t="s">
        <v>961</v>
      </c>
      <c r="H403">
        <v>0.21099999999999999</v>
      </c>
      <c r="J403" t="s">
        <v>769</v>
      </c>
      <c r="K403">
        <v>106802287</v>
      </c>
      <c r="L403" s="2">
        <v>44481</v>
      </c>
      <c r="M403">
        <v>24</v>
      </c>
      <c r="N403">
        <v>1</v>
      </c>
      <c r="O403">
        <v>7</v>
      </c>
      <c r="P403">
        <v>1</v>
      </c>
      <c r="Q403" t="s">
        <v>3</v>
      </c>
      <c r="X403" t="s">
        <v>1259</v>
      </c>
      <c r="Y403" t="s">
        <v>1257</v>
      </c>
      <c r="Z403" t="s">
        <v>1238</v>
      </c>
      <c r="AA403" t="s">
        <v>721</v>
      </c>
    </row>
    <row r="404" spans="1:28">
      <c r="A404" t="s">
        <v>1021</v>
      </c>
      <c r="B404" t="s">
        <v>965</v>
      </c>
      <c r="C404">
        <v>0</v>
      </c>
      <c r="E404" t="s">
        <v>967</v>
      </c>
      <c r="F404" t="s">
        <v>968</v>
      </c>
      <c r="G404" t="s">
        <v>961</v>
      </c>
      <c r="H404">
        <v>0.21099999999999999</v>
      </c>
      <c r="J404" t="s">
        <v>769</v>
      </c>
      <c r="K404">
        <v>107416680</v>
      </c>
      <c r="L404" s="2">
        <v>45141</v>
      </c>
      <c r="M404">
        <v>25</v>
      </c>
      <c r="N404">
        <v>1</v>
      </c>
      <c r="O404">
        <v>7</v>
      </c>
      <c r="P404">
        <v>1</v>
      </c>
      <c r="Q404" t="s">
        <v>8</v>
      </c>
      <c r="X404" t="s">
        <v>1260</v>
      </c>
      <c r="Y404" t="s">
        <v>1257</v>
      </c>
      <c r="Z404" t="s">
        <v>1238</v>
      </c>
      <c r="AA404" t="s">
        <v>721</v>
      </c>
    </row>
    <row r="405" spans="1:28">
      <c r="A405" t="s">
        <v>1021</v>
      </c>
      <c r="B405" t="s">
        <v>965</v>
      </c>
      <c r="C405">
        <v>0</v>
      </c>
      <c r="E405" t="s">
        <v>967</v>
      </c>
      <c r="F405" t="s">
        <v>968</v>
      </c>
      <c r="G405" t="s">
        <v>961</v>
      </c>
      <c r="H405">
        <v>0.21099999999999999</v>
      </c>
      <c r="J405" t="s">
        <v>769</v>
      </c>
      <c r="K405">
        <v>107805343</v>
      </c>
      <c r="L405" s="2">
        <v>45506</v>
      </c>
      <c r="M405">
        <v>28</v>
      </c>
      <c r="N405">
        <v>1</v>
      </c>
      <c r="O405">
        <v>0</v>
      </c>
      <c r="P405">
        <v>1</v>
      </c>
      <c r="Q405" t="s">
        <v>7</v>
      </c>
      <c r="X405" t="s">
        <v>1226</v>
      </c>
      <c r="Y405" t="s">
        <v>1246</v>
      </c>
      <c r="Z405" t="s">
        <v>774</v>
      </c>
      <c r="AA405" t="s">
        <v>723</v>
      </c>
    </row>
    <row r="406" spans="1:28">
      <c r="A406" t="s">
        <v>1021</v>
      </c>
      <c r="B406" t="s">
        <v>965</v>
      </c>
      <c r="C406">
        <v>0</v>
      </c>
      <c r="E406" t="s">
        <v>967</v>
      </c>
      <c r="F406" t="s">
        <v>968</v>
      </c>
      <c r="G406" t="s">
        <v>961</v>
      </c>
      <c r="H406">
        <v>0.21099999999999999</v>
      </c>
      <c r="J406" t="s">
        <v>769</v>
      </c>
      <c r="K406">
        <v>106372334</v>
      </c>
      <c r="L406" s="2">
        <v>44095</v>
      </c>
      <c r="M406">
        <v>30</v>
      </c>
      <c r="N406">
        <v>1</v>
      </c>
      <c r="P406">
        <v>1</v>
      </c>
      <c r="Q406" t="s">
        <v>3</v>
      </c>
      <c r="X406" t="s">
        <v>1261</v>
      </c>
      <c r="Y406" t="s">
        <v>774</v>
      </c>
      <c r="Z406" t="s">
        <v>1238</v>
      </c>
      <c r="AA406" t="s">
        <v>723</v>
      </c>
    </row>
    <row r="407" spans="1:28">
      <c r="A407" t="s">
        <v>1021</v>
      </c>
      <c r="B407" t="s">
        <v>965</v>
      </c>
      <c r="C407">
        <v>0</v>
      </c>
      <c r="E407" t="s">
        <v>967</v>
      </c>
      <c r="F407" t="s">
        <v>968</v>
      </c>
      <c r="G407" t="s">
        <v>961</v>
      </c>
      <c r="H407">
        <v>0.21099999999999999</v>
      </c>
      <c r="J407" t="s">
        <v>769</v>
      </c>
      <c r="K407">
        <v>106907157</v>
      </c>
      <c r="L407" s="2">
        <v>44652</v>
      </c>
      <c r="M407">
        <v>30</v>
      </c>
      <c r="N407">
        <v>1</v>
      </c>
      <c r="O407">
        <v>7</v>
      </c>
      <c r="P407">
        <v>1</v>
      </c>
      <c r="Q407" t="s">
        <v>7</v>
      </c>
      <c r="X407" t="s">
        <v>1262</v>
      </c>
      <c r="Y407" t="s">
        <v>1238</v>
      </c>
      <c r="Z407" t="s">
        <v>772</v>
      </c>
      <c r="AA407" t="s">
        <v>724</v>
      </c>
    </row>
    <row r="408" spans="1:28">
      <c r="A408" t="s">
        <v>1021</v>
      </c>
      <c r="B408" t="s">
        <v>965</v>
      </c>
      <c r="C408">
        <v>0</v>
      </c>
      <c r="E408" t="s">
        <v>967</v>
      </c>
      <c r="G408" t="s">
        <v>961</v>
      </c>
      <c r="H408">
        <v>0.21099999999999999</v>
      </c>
      <c r="J408" t="s">
        <v>769</v>
      </c>
      <c r="K408">
        <v>107007989</v>
      </c>
      <c r="L408" s="2">
        <v>44748</v>
      </c>
      <c r="M408">
        <v>30</v>
      </c>
      <c r="N408">
        <v>1</v>
      </c>
      <c r="O408">
        <v>7</v>
      </c>
      <c r="P408">
        <v>1</v>
      </c>
      <c r="Q408" t="s">
        <v>7</v>
      </c>
      <c r="X408" t="s">
        <v>1242</v>
      </c>
      <c r="Y408" t="s">
        <v>1263</v>
      </c>
      <c r="Z408" t="s">
        <v>1238</v>
      </c>
      <c r="AA408" t="s">
        <v>722</v>
      </c>
    </row>
    <row r="409" spans="1:28">
      <c r="A409" t="s">
        <v>1021</v>
      </c>
      <c r="B409" t="s">
        <v>965</v>
      </c>
      <c r="C409">
        <v>0</v>
      </c>
      <c r="E409" t="s">
        <v>967</v>
      </c>
      <c r="G409" t="s">
        <v>961</v>
      </c>
      <c r="H409">
        <v>0.21099999999999999</v>
      </c>
      <c r="J409" t="s">
        <v>769</v>
      </c>
      <c r="K409">
        <v>105329610</v>
      </c>
      <c r="L409" s="2">
        <v>43073</v>
      </c>
      <c r="M409">
        <v>30</v>
      </c>
      <c r="N409">
        <v>1</v>
      </c>
      <c r="P409">
        <v>1</v>
      </c>
      <c r="Q409" t="s">
        <v>7</v>
      </c>
      <c r="X409" t="s">
        <v>1242</v>
      </c>
      <c r="Y409" t="s">
        <v>771</v>
      </c>
      <c r="Z409" t="s">
        <v>1238</v>
      </c>
      <c r="AA409" t="s">
        <v>722</v>
      </c>
    </row>
    <row r="410" spans="1:28">
      <c r="A410" t="s">
        <v>1021</v>
      </c>
      <c r="B410" t="s">
        <v>965</v>
      </c>
      <c r="C410">
        <v>0</v>
      </c>
      <c r="E410" t="s">
        <v>967</v>
      </c>
      <c r="G410" t="s">
        <v>961</v>
      </c>
      <c r="H410">
        <v>0.21099999999999999</v>
      </c>
      <c r="J410" t="s">
        <v>769</v>
      </c>
      <c r="K410">
        <v>107203016</v>
      </c>
      <c r="L410" s="2">
        <v>44931</v>
      </c>
      <c r="M410">
        <v>30</v>
      </c>
      <c r="N410">
        <v>1</v>
      </c>
      <c r="O410">
        <v>7</v>
      </c>
      <c r="P410">
        <v>4</v>
      </c>
      <c r="Q410" t="s">
        <v>3</v>
      </c>
      <c r="X410" t="s">
        <v>1264</v>
      </c>
      <c r="Y410" t="s">
        <v>1240</v>
      </c>
      <c r="Z410" t="s">
        <v>1238</v>
      </c>
      <c r="AA410" t="s">
        <v>723</v>
      </c>
      <c r="AB410" t="s">
        <v>1265</v>
      </c>
    </row>
    <row r="411" spans="1:28">
      <c r="A411" t="s">
        <v>1021</v>
      </c>
      <c r="B411" t="s">
        <v>965</v>
      </c>
      <c r="C411">
        <v>0</v>
      </c>
      <c r="E411" t="s">
        <v>1022</v>
      </c>
      <c r="F411" t="s">
        <v>963</v>
      </c>
      <c r="G411" t="s">
        <v>961</v>
      </c>
      <c r="H411">
        <v>0.21099999999999999</v>
      </c>
      <c r="J411" t="s">
        <v>1208</v>
      </c>
      <c r="K411">
        <v>104981930</v>
      </c>
      <c r="L411" s="2">
        <v>42713</v>
      </c>
      <c r="M411">
        <v>30</v>
      </c>
      <c r="N411">
        <v>1</v>
      </c>
      <c r="O411">
        <v>8</v>
      </c>
      <c r="P411">
        <v>1</v>
      </c>
      <c r="Q411" t="s">
        <v>7</v>
      </c>
      <c r="W411" t="s">
        <v>1266</v>
      </c>
      <c r="X411" t="s">
        <v>1267</v>
      </c>
      <c r="AB411" t="s">
        <v>1268</v>
      </c>
    </row>
    <row r="412" spans="1:28">
      <c r="A412" t="s">
        <v>1021</v>
      </c>
      <c r="B412" t="s">
        <v>965</v>
      </c>
      <c r="C412">
        <v>0</v>
      </c>
      <c r="E412" t="s">
        <v>1022</v>
      </c>
      <c r="F412" t="s">
        <v>1023</v>
      </c>
      <c r="G412" t="s">
        <v>961</v>
      </c>
      <c r="H412">
        <v>0.21099999999999999</v>
      </c>
      <c r="J412" t="s">
        <v>1208</v>
      </c>
      <c r="K412">
        <v>107838267</v>
      </c>
      <c r="L412" s="2">
        <v>45538</v>
      </c>
      <c r="M412">
        <v>24</v>
      </c>
      <c r="N412">
        <v>1</v>
      </c>
      <c r="O412">
        <v>8</v>
      </c>
      <c r="P412">
        <v>1</v>
      </c>
      <c r="Q412" t="s">
        <v>7</v>
      </c>
      <c r="W412" t="s">
        <v>1269</v>
      </c>
      <c r="X412" t="s">
        <v>1216</v>
      </c>
      <c r="AB412" t="s">
        <v>1270</v>
      </c>
    </row>
    <row r="413" spans="1:28">
      <c r="A413" t="s">
        <v>1021</v>
      </c>
      <c r="B413" t="s">
        <v>965</v>
      </c>
      <c r="C413">
        <v>0</v>
      </c>
      <c r="E413" t="s">
        <v>1022</v>
      </c>
      <c r="F413" t="s">
        <v>967</v>
      </c>
      <c r="G413" t="s">
        <v>961</v>
      </c>
      <c r="H413">
        <v>0.21099999999999999</v>
      </c>
      <c r="J413" t="s">
        <v>1208</v>
      </c>
      <c r="K413">
        <v>107635374</v>
      </c>
      <c r="L413" s="2">
        <v>45345</v>
      </c>
      <c r="M413">
        <v>25</v>
      </c>
      <c r="N413">
        <v>1</v>
      </c>
      <c r="O413">
        <v>0</v>
      </c>
      <c r="P413">
        <v>1</v>
      </c>
      <c r="Q413" t="s">
        <v>7</v>
      </c>
      <c r="W413" t="s">
        <v>1271</v>
      </c>
      <c r="X413" t="s">
        <v>1272</v>
      </c>
      <c r="AB413" t="s">
        <v>1273</v>
      </c>
    </row>
    <row r="414" spans="1:28">
      <c r="A414" t="s">
        <v>1021</v>
      </c>
      <c r="B414" t="s">
        <v>965</v>
      </c>
      <c r="C414">
        <v>0</v>
      </c>
      <c r="E414" t="s">
        <v>1022</v>
      </c>
      <c r="F414" t="s">
        <v>968</v>
      </c>
      <c r="G414" t="s">
        <v>961</v>
      </c>
      <c r="H414">
        <v>0.21099999999999999</v>
      </c>
      <c r="J414" t="s">
        <v>1208</v>
      </c>
      <c r="K414">
        <v>106578511</v>
      </c>
      <c r="L414" s="2">
        <v>44277</v>
      </c>
      <c r="M414">
        <v>23</v>
      </c>
      <c r="N414">
        <v>1</v>
      </c>
      <c r="O414">
        <v>4</v>
      </c>
      <c r="P414">
        <v>1</v>
      </c>
      <c r="Q414" t="s">
        <v>3</v>
      </c>
      <c r="W414" t="s">
        <v>1274</v>
      </c>
      <c r="X414" t="s">
        <v>1264</v>
      </c>
      <c r="AB414" t="s">
        <v>1275</v>
      </c>
    </row>
    <row r="415" spans="1:28">
      <c r="A415" t="s">
        <v>1021</v>
      </c>
      <c r="B415" t="s">
        <v>965</v>
      </c>
      <c r="C415">
        <v>0</v>
      </c>
      <c r="E415" t="s">
        <v>1022</v>
      </c>
      <c r="F415" t="s">
        <v>968</v>
      </c>
      <c r="G415" t="s">
        <v>961</v>
      </c>
      <c r="H415">
        <v>0.21099999999999999</v>
      </c>
      <c r="J415" t="s">
        <v>1208</v>
      </c>
      <c r="K415">
        <v>107208073</v>
      </c>
      <c r="L415" s="2">
        <v>44919</v>
      </c>
      <c r="M415">
        <v>24</v>
      </c>
      <c r="N415">
        <v>1</v>
      </c>
      <c r="O415">
        <v>8</v>
      </c>
      <c r="P415">
        <v>1</v>
      </c>
      <c r="Q415" t="s">
        <v>7</v>
      </c>
      <c r="W415" t="s">
        <v>1276</v>
      </c>
      <c r="X415" t="s">
        <v>1213</v>
      </c>
      <c r="AB415" t="s">
        <v>1277</v>
      </c>
    </row>
    <row r="416" spans="1:28">
      <c r="A416" t="s">
        <v>1021</v>
      </c>
      <c r="B416" t="s">
        <v>965</v>
      </c>
      <c r="C416">
        <v>0</v>
      </c>
      <c r="E416" t="s">
        <v>1022</v>
      </c>
      <c r="F416" t="s">
        <v>968</v>
      </c>
      <c r="G416" t="s">
        <v>961</v>
      </c>
      <c r="H416">
        <v>0.21099999999999999</v>
      </c>
      <c r="J416" t="s">
        <v>1208</v>
      </c>
      <c r="K416">
        <v>104982048</v>
      </c>
      <c r="L416" s="2">
        <v>42719</v>
      </c>
      <c r="M416">
        <v>30</v>
      </c>
      <c r="N416">
        <v>1</v>
      </c>
      <c r="O416">
        <v>8</v>
      </c>
      <c r="P416">
        <v>1</v>
      </c>
      <c r="Q416" t="s">
        <v>7</v>
      </c>
      <c r="W416" t="s">
        <v>1278</v>
      </c>
      <c r="X416" t="s">
        <v>1267</v>
      </c>
      <c r="AB416" t="s">
        <v>1279</v>
      </c>
    </row>
    <row r="417" spans="1:28">
      <c r="A417" t="s">
        <v>1021</v>
      </c>
      <c r="B417" t="s">
        <v>965</v>
      </c>
      <c r="C417">
        <v>0</v>
      </c>
      <c r="E417" t="s">
        <v>1022</v>
      </c>
      <c r="F417" t="s">
        <v>968</v>
      </c>
      <c r="G417" t="s">
        <v>961</v>
      </c>
      <c r="H417">
        <v>0.21099999999999999</v>
      </c>
      <c r="K417">
        <v>106802282</v>
      </c>
      <c r="L417" s="2">
        <v>44479</v>
      </c>
      <c r="M417">
        <v>30</v>
      </c>
      <c r="N417">
        <v>1</v>
      </c>
      <c r="O417">
        <v>0</v>
      </c>
      <c r="P417">
        <v>1</v>
      </c>
      <c r="Q417" t="s">
        <v>7</v>
      </c>
    </row>
    <row r="418" spans="1:28">
      <c r="A418" t="s">
        <v>1021</v>
      </c>
      <c r="B418" t="s">
        <v>965</v>
      </c>
      <c r="C418">
        <v>0</v>
      </c>
      <c r="E418" t="s">
        <v>1022</v>
      </c>
      <c r="F418" t="s">
        <v>968</v>
      </c>
      <c r="G418" t="s">
        <v>961</v>
      </c>
      <c r="H418">
        <v>0.21099999999999999</v>
      </c>
      <c r="J418" t="s">
        <v>1208</v>
      </c>
      <c r="K418">
        <v>106969091</v>
      </c>
      <c r="L418" s="2">
        <v>44707</v>
      </c>
      <c r="M418">
        <v>30</v>
      </c>
      <c r="N418">
        <v>1</v>
      </c>
      <c r="O418">
        <v>8</v>
      </c>
      <c r="P418">
        <v>1</v>
      </c>
      <c r="Q418" t="s">
        <v>7</v>
      </c>
      <c r="W418" t="s">
        <v>1276</v>
      </c>
      <c r="X418" t="s">
        <v>1280</v>
      </c>
      <c r="AB418" t="s">
        <v>1281</v>
      </c>
    </row>
    <row r="419" spans="1:28">
      <c r="A419" t="s">
        <v>1021</v>
      </c>
      <c r="B419" t="s">
        <v>965</v>
      </c>
      <c r="C419">
        <v>0</v>
      </c>
      <c r="E419" t="s">
        <v>1022</v>
      </c>
      <c r="G419" t="s">
        <v>961</v>
      </c>
      <c r="H419">
        <v>0.21099999999999999</v>
      </c>
      <c r="J419" t="s">
        <v>1208</v>
      </c>
      <c r="K419">
        <v>108093329</v>
      </c>
      <c r="L419" s="2">
        <v>45775</v>
      </c>
      <c r="M419">
        <v>28</v>
      </c>
      <c r="N419">
        <v>1</v>
      </c>
      <c r="O419">
        <v>8</v>
      </c>
      <c r="P419">
        <v>1</v>
      </c>
      <c r="Q419" t="s">
        <v>7</v>
      </c>
      <c r="W419" t="s">
        <v>1282</v>
      </c>
      <c r="X419" t="s">
        <v>1283</v>
      </c>
      <c r="AB419" t="s">
        <v>1284</v>
      </c>
    </row>
    <row r="420" spans="1:28">
      <c r="A420" t="s">
        <v>1021</v>
      </c>
      <c r="B420" t="s">
        <v>965</v>
      </c>
      <c r="C420">
        <v>0</v>
      </c>
      <c r="E420" t="s">
        <v>1022</v>
      </c>
      <c r="G420" t="s">
        <v>961</v>
      </c>
      <c r="H420">
        <v>0.21099999999999999</v>
      </c>
      <c r="J420" t="s">
        <v>1208</v>
      </c>
      <c r="K420">
        <v>105125306</v>
      </c>
      <c r="L420" s="2">
        <v>42871</v>
      </c>
      <c r="M420">
        <v>30</v>
      </c>
      <c r="N420">
        <v>1</v>
      </c>
      <c r="O420">
        <v>0</v>
      </c>
      <c r="P420">
        <v>1</v>
      </c>
      <c r="Q420" t="s">
        <v>3</v>
      </c>
      <c r="W420" t="s">
        <v>1285</v>
      </c>
      <c r="X420" t="s">
        <v>1267</v>
      </c>
      <c r="AB420" t="s">
        <v>1286</v>
      </c>
    </row>
    <row r="421" spans="1:28">
      <c r="A421" t="s">
        <v>1021</v>
      </c>
      <c r="B421" t="s">
        <v>1022</v>
      </c>
      <c r="C421">
        <v>0</v>
      </c>
      <c r="D421" t="s">
        <v>757</v>
      </c>
      <c r="E421" t="s">
        <v>965</v>
      </c>
      <c r="F421" t="s">
        <v>967</v>
      </c>
      <c r="G421" t="s">
        <v>961</v>
      </c>
      <c r="H421">
        <v>0.21099999999999999</v>
      </c>
      <c r="J421" t="s">
        <v>1208</v>
      </c>
      <c r="K421">
        <v>108301120</v>
      </c>
      <c r="L421" s="2">
        <v>45971</v>
      </c>
      <c r="M421">
        <v>20</v>
      </c>
      <c r="N421">
        <v>1</v>
      </c>
      <c r="O421">
        <v>0</v>
      </c>
      <c r="P421">
        <v>1</v>
      </c>
      <c r="Q421" t="s">
        <v>7</v>
      </c>
      <c r="W421" t="s">
        <v>1287</v>
      </c>
      <c r="X421" t="s">
        <v>1288</v>
      </c>
      <c r="AB421" t="s">
        <v>1289</v>
      </c>
    </row>
    <row r="422" spans="1:28">
      <c r="A422" t="s">
        <v>1021</v>
      </c>
      <c r="B422" t="s">
        <v>1022</v>
      </c>
      <c r="C422">
        <v>0</v>
      </c>
      <c r="D422" t="s">
        <v>6</v>
      </c>
      <c r="E422" t="s">
        <v>965</v>
      </c>
      <c r="G422" t="s">
        <v>961</v>
      </c>
      <c r="H422">
        <v>0.21099999999999999</v>
      </c>
      <c r="K422">
        <v>106802406</v>
      </c>
      <c r="L422" s="2">
        <v>44523</v>
      </c>
      <c r="M422">
        <v>21</v>
      </c>
      <c r="N422">
        <v>1</v>
      </c>
      <c r="O422">
        <v>0</v>
      </c>
      <c r="P422">
        <v>1</v>
      </c>
      <c r="Q422" t="s">
        <v>7</v>
      </c>
    </row>
    <row r="423" spans="1:28">
      <c r="A423" t="s">
        <v>1021</v>
      </c>
      <c r="B423" t="s">
        <v>1022</v>
      </c>
      <c r="C423">
        <v>0</v>
      </c>
      <c r="E423" t="s">
        <v>965</v>
      </c>
      <c r="G423" t="s">
        <v>961</v>
      </c>
      <c r="H423">
        <v>0.21099999999999999</v>
      </c>
      <c r="J423" t="s">
        <v>1208</v>
      </c>
      <c r="K423">
        <v>108243989</v>
      </c>
      <c r="L423" s="2">
        <v>45926</v>
      </c>
      <c r="M423">
        <v>21</v>
      </c>
      <c r="N423">
        <v>1</v>
      </c>
      <c r="O423">
        <v>0</v>
      </c>
      <c r="P423">
        <v>1</v>
      </c>
      <c r="Q423" t="s">
        <v>7</v>
      </c>
      <c r="W423" t="s">
        <v>1290</v>
      </c>
      <c r="X423" t="s">
        <v>1291</v>
      </c>
      <c r="AB423" t="s">
        <v>1292</v>
      </c>
    </row>
    <row r="424" spans="1:28">
      <c r="A424" t="s">
        <v>1021</v>
      </c>
      <c r="B424" t="s">
        <v>965</v>
      </c>
      <c r="C424">
        <v>0.01</v>
      </c>
      <c r="D424" t="s">
        <v>756</v>
      </c>
      <c r="E424" t="s">
        <v>967</v>
      </c>
      <c r="F424" t="s">
        <v>968</v>
      </c>
      <c r="G424" t="s">
        <v>961</v>
      </c>
      <c r="H424">
        <v>0.221</v>
      </c>
      <c r="J424" t="s">
        <v>769</v>
      </c>
      <c r="K424">
        <v>107004020</v>
      </c>
      <c r="L424" s="2">
        <v>44742</v>
      </c>
      <c r="M424">
        <v>21</v>
      </c>
      <c r="N424">
        <v>1</v>
      </c>
      <c r="O424">
        <v>0</v>
      </c>
      <c r="P424">
        <v>1</v>
      </c>
      <c r="Q424" t="s">
        <v>7</v>
      </c>
      <c r="X424" t="s">
        <v>1219</v>
      </c>
      <c r="Y424" t="s">
        <v>1241</v>
      </c>
      <c r="Z424" t="s">
        <v>1241</v>
      </c>
      <c r="AA424" t="s">
        <v>724</v>
      </c>
    </row>
    <row r="425" spans="1:28">
      <c r="A425" t="s">
        <v>1021</v>
      </c>
      <c r="B425" t="s">
        <v>965</v>
      </c>
      <c r="C425">
        <v>1.0999999999999999E-2</v>
      </c>
      <c r="D425" t="s">
        <v>756</v>
      </c>
      <c r="E425" t="s">
        <v>963</v>
      </c>
      <c r="F425" t="s">
        <v>1020</v>
      </c>
      <c r="G425" t="s">
        <v>961</v>
      </c>
      <c r="H425">
        <v>0.222</v>
      </c>
      <c r="J425" t="s">
        <v>769</v>
      </c>
      <c r="K425">
        <v>105611574</v>
      </c>
      <c r="L425" s="2">
        <v>43352</v>
      </c>
      <c r="M425">
        <v>1</v>
      </c>
      <c r="N425">
        <v>2</v>
      </c>
      <c r="O425">
        <v>0</v>
      </c>
      <c r="P425">
        <v>5</v>
      </c>
      <c r="Q425" t="s">
        <v>7</v>
      </c>
      <c r="X425" t="s">
        <v>1293</v>
      </c>
      <c r="Y425" t="s">
        <v>774</v>
      </c>
      <c r="AA425" t="s">
        <v>723</v>
      </c>
    </row>
    <row r="426" spans="1:28">
      <c r="A426" t="s">
        <v>1021</v>
      </c>
      <c r="B426" t="s">
        <v>965</v>
      </c>
      <c r="C426">
        <v>1.4E-2</v>
      </c>
      <c r="D426" t="s">
        <v>756</v>
      </c>
      <c r="E426" t="s">
        <v>963</v>
      </c>
      <c r="F426" t="s">
        <v>1023</v>
      </c>
      <c r="G426" t="s">
        <v>961</v>
      </c>
      <c r="H426">
        <v>0.22500000000000001</v>
      </c>
      <c r="J426" t="s">
        <v>769</v>
      </c>
      <c r="K426">
        <v>105186073</v>
      </c>
      <c r="L426" s="2">
        <v>42944</v>
      </c>
      <c r="M426">
        <v>19</v>
      </c>
      <c r="N426">
        <v>2</v>
      </c>
      <c r="O426">
        <v>7</v>
      </c>
      <c r="P426">
        <v>2</v>
      </c>
      <c r="Q426" t="s">
        <v>7</v>
      </c>
      <c r="X426" t="s">
        <v>1294</v>
      </c>
      <c r="Y426" t="s">
        <v>1240</v>
      </c>
      <c r="AA426" t="s">
        <v>310</v>
      </c>
    </row>
    <row r="427" spans="1:28">
      <c r="A427" t="s">
        <v>1021</v>
      </c>
      <c r="B427" t="s">
        <v>965</v>
      </c>
      <c r="C427">
        <v>2.1000000000000001E-2</v>
      </c>
      <c r="D427" t="s">
        <v>756</v>
      </c>
      <c r="E427" t="s">
        <v>967</v>
      </c>
      <c r="F427" t="s">
        <v>1020</v>
      </c>
      <c r="G427" t="s">
        <v>961</v>
      </c>
      <c r="H427">
        <v>0.23200000000000001</v>
      </c>
      <c r="J427" t="s">
        <v>769</v>
      </c>
      <c r="K427">
        <v>105741351</v>
      </c>
      <c r="L427" s="2">
        <v>43453</v>
      </c>
      <c r="M427">
        <v>28</v>
      </c>
      <c r="N427">
        <v>1</v>
      </c>
      <c r="O427">
        <v>7</v>
      </c>
      <c r="P427">
        <v>1</v>
      </c>
      <c r="Q427" t="s">
        <v>7</v>
      </c>
      <c r="X427" t="s">
        <v>1295</v>
      </c>
      <c r="Y427" t="s">
        <v>1237</v>
      </c>
      <c r="Z427" t="s">
        <v>1238</v>
      </c>
      <c r="AA427" t="s">
        <v>724</v>
      </c>
    </row>
    <row r="428" spans="1:28">
      <c r="A428" t="s">
        <v>1021</v>
      </c>
      <c r="B428" t="s">
        <v>965</v>
      </c>
      <c r="C428">
        <v>3.7999999999999999E-2</v>
      </c>
      <c r="D428" t="s">
        <v>6</v>
      </c>
      <c r="E428" t="s">
        <v>963</v>
      </c>
      <c r="F428" t="s">
        <v>1020</v>
      </c>
      <c r="G428" t="s">
        <v>961</v>
      </c>
      <c r="H428">
        <v>0.249</v>
      </c>
      <c r="J428" t="s">
        <v>1208</v>
      </c>
      <c r="K428">
        <v>105919405</v>
      </c>
      <c r="L428" s="2">
        <v>43622</v>
      </c>
      <c r="M428">
        <v>30</v>
      </c>
      <c r="N428">
        <v>1</v>
      </c>
      <c r="O428">
        <v>0</v>
      </c>
      <c r="P428">
        <v>1</v>
      </c>
      <c r="Q428" t="s">
        <v>7</v>
      </c>
      <c r="W428" t="s">
        <v>1296</v>
      </c>
      <c r="X428" t="s">
        <v>1295</v>
      </c>
      <c r="AB428" t="s">
        <v>1297</v>
      </c>
    </row>
    <row r="429" spans="1:28">
      <c r="A429" t="s">
        <v>1021</v>
      </c>
      <c r="B429" t="s">
        <v>965</v>
      </c>
      <c r="C429">
        <v>4.8000000000000001E-2</v>
      </c>
      <c r="D429" t="s">
        <v>756</v>
      </c>
      <c r="E429" t="s">
        <v>967</v>
      </c>
      <c r="F429" t="s">
        <v>1020</v>
      </c>
      <c r="G429" t="s">
        <v>961</v>
      </c>
      <c r="H429">
        <v>0.25900000000000001</v>
      </c>
      <c r="J429" t="s">
        <v>1208</v>
      </c>
      <c r="K429">
        <v>107150024</v>
      </c>
      <c r="L429" s="2">
        <v>44878</v>
      </c>
      <c r="M429">
        <v>28</v>
      </c>
      <c r="N429">
        <v>1</v>
      </c>
      <c r="O429">
        <v>0</v>
      </c>
      <c r="P429">
        <v>1</v>
      </c>
      <c r="Q429" t="s">
        <v>7</v>
      </c>
      <c r="W429" t="s">
        <v>1298</v>
      </c>
      <c r="X429" t="s">
        <v>1226</v>
      </c>
      <c r="AB429" t="s">
        <v>1299</v>
      </c>
    </row>
    <row r="430" spans="1:28">
      <c r="A430" t="s">
        <v>1021</v>
      </c>
      <c r="B430" t="s">
        <v>965</v>
      </c>
      <c r="C430">
        <v>7.9000000000000001E-2</v>
      </c>
      <c r="D430" t="s">
        <v>758</v>
      </c>
      <c r="E430" t="s">
        <v>1020</v>
      </c>
      <c r="F430" t="s">
        <v>967</v>
      </c>
      <c r="G430" t="s">
        <v>961</v>
      </c>
      <c r="H430">
        <v>0.26100000000000001</v>
      </c>
      <c r="J430" t="s">
        <v>1208</v>
      </c>
      <c r="K430">
        <v>106837459</v>
      </c>
      <c r="L430" s="2">
        <v>44581</v>
      </c>
      <c r="M430">
        <v>28</v>
      </c>
      <c r="N430">
        <v>2</v>
      </c>
      <c r="O430">
        <v>0</v>
      </c>
      <c r="P430">
        <v>1</v>
      </c>
      <c r="Q430" t="s">
        <v>7</v>
      </c>
      <c r="W430" t="s">
        <v>1300</v>
      </c>
      <c r="X430" t="s">
        <v>1295</v>
      </c>
      <c r="AB430" t="s">
        <v>1301</v>
      </c>
    </row>
    <row r="431" spans="1:28">
      <c r="A431" t="s">
        <v>1021</v>
      </c>
      <c r="B431" t="s">
        <v>965</v>
      </c>
      <c r="C431">
        <v>0.28199999999999997</v>
      </c>
      <c r="D431" t="s">
        <v>756</v>
      </c>
      <c r="E431" t="s">
        <v>1080</v>
      </c>
      <c r="F431" t="s">
        <v>1020</v>
      </c>
      <c r="G431" t="s">
        <v>961</v>
      </c>
      <c r="H431">
        <v>0.28199999999999997</v>
      </c>
      <c r="K431">
        <v>106802398</v>
      </c>
      <c r="L431" s="2">
        <v>44520</v>
      </c>
      <c r="M431">
        <v>17</v>
      </c>
      <c r="N431">
        <v>1</v>
      </c>
      <c r="O431">
        <v>0</v>
      </c>
      <c r="P431">
        <v>5</v>
      </c>
      <c r="Q431" t="s">
        <v>7</v>
      </c>
    </row>
    <row r="432" spans="1:28">
      <c r="A432" t="s">
        <v>1021</v>
      </c>
      <c r="B432" t="s">
        <v>965</v>
      </c>
      <c r="C432">
        <v>5.7000000000000002E-2</v>
      </c>
      <c r="D432" t="s">
        <v>758</v>
      </c>
      <c r="E432" t="s">
        <v>1020</v>
      </c>
      <c r="F432" t="s">
        <v>967</v>
      </c>
      <c r="G432" t="s">
        <v>961</v>
      </c>
      <c r="H432">
        <v>0.28299999999999997</v>
      </c>
      <c r="J432" t="s">
        <v>1208</v>
      </c>
      <c r="K432">
        <v>107950519</v>
      </c>
      <c r="L432" s="2">
        <v>45633</v>
      </c>
      <c r="M432">
        <v>17</v>
      </c>
      <c r="N432">
        <v>1</v>
      </c>
      <c r="O432">
        <v>0</v>
      </c>
      <c r="P432">
        <v>5</v>
      </c>
      <c r="Q432" t="s">
        <v>7</v>
      </c>
      <c r="W432" t="s">
        <v>1302</v>
      </c>
      <c r="X432" t="s">
        <v>1303</v>
      </c>
      <c r="AB432" t="s">
        <v>1304</v>
      </c>
    </row>
    <row r="433" spans="1:28">
      <c r="A433" t="s">
        <v>1021</v>
      </c>
      <c r="B433" t="s">
        <v>965</v>
      </c>
      <c r="C433">
        <v>5.7000000000000002E-2</v>
      </c>
      <c r="D433" t="s">
        <v>758</v>
      </c>
      <c r="E433" t="s">
        <v>1020</v>
      </c>
      <c r="F433" t="s">
        <v>967</v>
      </c>
      <c r="G433" t="s">
        <v>961</v>
      </c>
      <c r="H433">
        <v>0.28299999999999997</v>
      </c>
      <c r="J433" t="s">
        <v>1208</v>
      </c>
      <c r="K433">
        <v>106810307</v>
      </c>
      <c r="L433" s="2">
        <v>44550</v>
      </c>
      <c r="M433">
        <v>28</v>
      </c>
      <c r="N433">
        <v>1</v>
      </c>
      <c r="O433">
        <v>0</v>
      </c>
      <c r="P433">
        <v>4</v>
      </c>
      <c r="Q433" t="s">
        <v>7</v>
      </c>
      <c r="W433" t="s">
        <v>1302</v>
      </c>
      <c r="X433" t="s">
        <v>1295</v>
      </c>
      <c r="AB433" t="s">
        <v>1305</v>
      </c>
    </row>
    <row r="434" spans="1:28">
      <c r="A434" t="s">
        <v>754</v>
      </c>
      <c r="B434" t="s">
        <v>961</v>
      </c>
      <c r="C434">
        <v>0.3</v>
      </c>
      <c r="D434" t="s">
        <v>756</v>
      </c>
      <c r="E434" t="s">
        <v>968</v>
      </c>
      <c r="F434" t="s">
        <v>973</v>
      </c>
      <c r="G434" t="s">
        <v>961</v>
      </c>
      <c r="H434">
        <v>0.3</v>
      </c>
      <c r="J434" t="s">
        <v>1208</v>
      </c>
      <c r="K434">
        <v>105844062</v>
      </c>
      <c r="L434" s="2">
        <v>43572</v>
      </c>
      <c r="M434">
        <v>21</v>
      </c>
      <c r="N434">
        <v>1</v>
      </c>
      <c r="O434">
        <v>0</v>
      </c>
      <c r="P434">
        <v>1</v>
      </c>
      <c r="Q434" t="s">
        <v>7</v>
      </c>
      <c r="W434" t="s">
        <v>1306</v>
      </c>
      <c r="X434" t="s">
        <v>1243</v>
      </c>
      <c r="AB434" t="s">
        <v>1307</v>
      </c>
    </row>
    <row r="435" spans="1:28">
      <c r="A435" t="s">
        <v>1021</v>
      </c>
      <c r="B435" t="s">
        <v>965</v>
      </c>
      <c r="C435">
        <v>3.7999999999999999E-2</v>
      </c>
      <c r="D435" t="s">
        <v>758</v>
      </c>
      <c r="E435" t="s">
        <v>1020</v>
      </c>
      <c r="F435" t="s">
        <v>967</v>
      </c>
      <c r="G435" t="s">
        <v>961</v>
      </c>
      <c r="H435">
        <v>0.30199999999999999</v>
      </c>
      <c r="J435" t="s">
        <v>773</v>
      </c>
      <c r="K435">
        <v>107249218</v>
      </c>
      <c r="L435" s="2">
        <v>44977</v>
      </c>
      <c r="M435">
        <v>21</v>
      </c>
      <c r="N435">
        <v>1</v>
      </c>
      <c r="O435">
        <v>7</v>
      </c>
      <c r="P435">
        <v>1</v>
      </c>
      <c r="Q435" t="s">
        <v>7</v>
      </c>
      <c r="W435" t="s">
        <v>1308</v>
      </c>
      <c r="X435" t="s">
        <v>1219</v>
      </c>
      <c r="AA435" t="s">
        <v>724</v>
      </c>
      <c r="AB435" t="s">
        <v>1309</v>
      </c>
    </row>
    <row r="436" spans="1:28">
      <c r="A436" t="s">
        <v>1021</v>
      </c>
      <c r="B436" t="s">
        <v>965</v>
      </c>
      <c r="C436">
        <v>1.4999999999999999E-2</v>
      </c>
      <c r="D436" t="s">
        <v>765</v>
      </c>
      <c r="E436" t="s">
        <v>1020</v>
      </c>
      <c r="F436" t="s">
        <v>967</v>
      </c>
      <c r="G436" t="s">
        <v>961</v>
      </c>
      <c r="H436">
        <v>0.32500000000000001</v>
      </c>
      <c r="J436" t="s">
        <v>1208</v>
      </c>
      <c r="K436">
        <v>108306192</v>
      </c>
      <c r="L436" s="2">
        <v>45975</v>
      </c>
      <c r="M436">
        <v>21</v>
      </c>
      <c r="N436">
        <v>1</v>
      </c>
      <c r="O436">
        <v>0</v>
      </c>
      <c r="P436">
        <v>1</v>
      </c>
      <c r="Q436" t="s">
        <v>7</v>
      </c>
      <c r="W436" t="s">
        <v>1347</v>
      </c>
    </row>
    <row r="437" spans="1:28">
      <c r="A437" t="s">
        <v>1021</v>
      </c>
      <c r="B437" t="s">
        <v>965</v>
      </c>
      <c r="C437">
        <v>8.0000000000000002E-3</v>
      </c>
      <c r="D437" t="s">
        <v>758</v>
      </c>
      <c r="E437" t="s">
        <v>1020</v>
      </c>
      <c r="F437" t="s">
        <v>967</v>
      </c>
      <c r="G437" t="s">
        <v>961</v>
      </c>
      <c r="H437">
        <v>0.33200000000000002</v>
      </c>
      <c r="J437" t="s">
        <v>1208</v>
      </c>
      <c r="K437">
        <v>107209484</v>
      </c>
      <c r="L437" s="2">
        <v>44582</v>
      </c>
      <c r="M437">
        <v>30</v>
      </c>
      <c r="N437">
        <v>5</v>
      </c>
      <c r="O437">
        <v>8</v>
      </c>
      <c r="P437">
        <v>5</v>
      </c>
      <c r="Q437" t="s">
        <v>7</v>
      </c>
      <c r="W437" t="s">
        <v>1348</v>
      </c>
    </row>
    <row r="438" spans="1:28">
      <c r="A438" t="s">
        <v>1021</v>
      </c>
      <c r="B438" t="s">
        <v>965</v>
      </c>
      <c r="C438">
        <v>0</v>
      </c>
      <c r="E438" t="s">
        <v>1020</v>
      </c>
      <c r="F438" t="s">
        <v>967</v>
      </c>
      <c r="G438" t="s">
        <v>961</v>
      </c>
      <c r="H438">
        <v>0.34</v>
      </c>
      <c r="J438" t="s">
        <v>1208</v>
      </c>
      <c r="K438">
        <v>106186204</v>
      </c>
      <c r="L438" s="2">
        <v>43846</v>
      </c>
      <c r="M438">
        <v>30</v>
      </c>
      <c r="N438">
        <v>1</v>
      </c>
      <c r="O438">
        <v>8</v>
      </c>
      <c r="P438">
        <v>1</v>
      </c>
      <c r="Q438" t="s">
        <v>8</v>
      </c>
      <c r="W438" t="s">
        <v>1349</v>
      </c>
    </row>
    <row r="439" spans="1:28">
      <c r="A439" t="s">
        <v>1021</v>
      </c>
      <c r="B439" t="s">
        <v>965</v>
      </c>
      <c r="C439">
        <v>0</v>
      </c>
      <c r="E439" t="s">
        <v>1020</v>
      </c>
      <c r="G439" t="s">
        <v>961</v>
      </c>
      <c r="H439">
        <v>0.34</v>
      </c>
      <c r="K439">
        <v>106416194</v>
      </c>
      <c r="L439" s="2">
        <v>44146</v>
      </c>
      <c r="M439">
        <v>13</v>
      </c>
      <c r="N439">
        <v>2</v>
      </c>
      <c r="P439">
        <v>1</v>
      </c>
      <c r="Q439" t="s">
        <v>8</v>
      </c>
    </row>
    <row r="440" spans="1:28">
      <c r="A440" t="s">
        <v>1021</v>
      </c>
      <c r="B440" t="s">
        <v>965</v>
      </c>
      <c r="C440">
        <v>0.32</v>
      </c>
      <c r="D440" t="s">
        <v>758</v>
      </c>
      <c r="E440" t="s">
        <v>1023</v>
      </c>
      <c r="F440" t="s">
        <v>1020</v>
      </c>
      <c r="G440" t="s">
        <v>961</v>
      </c>
      <c r="H440">
        <v>0.34499999999999997</v>
      </c>
      <c r="K440">
        <v>106802186</v>
      </c>
      <c r="L440" s="2">
        <v>44418</v>
      </c>
      <c r="M440">
        <v>28</v>
      </c>
      <c r="N440">
        <v>1</v>
      </c>
      <c r="O440">
        <v>7</v>
      </c>
      <c r="P440">
        <v>1</v>
      </c>
      <c r="Q440" t="s">
        <v>7</v>
      </c>
    </row>
    <row r="441" spans="1:28">
      <c r="A441" t="s">
        <v>1021</v>
      </c>
      <c r="B441" t="s">
        <v>965</v>
      </c>
      <c r="C441">
        <v>2.8000000000000001E-2</v>
      </c>
      <c r="D441" t="s">
        <v>756</v>
      </c>
      <c r="E441" t="s">
        <v>1020</v>
      </c>
      <c r="F441" t="s">
        <v>1023</v>
      </c>
      <c r="G441" t="s">
        <v>961</v>
      </c>
      <c r="H441">
        <v>0.36799999999999999</v>
      </c>
      <c r="K441">
        <v>108315433</v>
      </c>
      <c r="L441" s="2">
        <v>45983</v>
      </c>
      <c r="M441">
        <v>17</v>
      </c>
      <c r="N441">
        <v>1</v>
      </c>
      <c r="O441">
        <v>0</v>
      </c>
      <c r="P441">
        <v>4</v>
      </c>
      <c r="Q441" t="s">
        <v>7</v>
      </c>
    </row>
    <row r="442" spans="1:28">
      <c r="A442" t="s">
        <v>1021</v>
      </c>
      <c r="B442" t="s">
        <v>965</v>
      </c>
      <c r="C442">
        <v>3.7999999999999999E-2</v>
      </c>
      <c r="D442" t="s">
        <v>756</v>
      </c>
      <c r="E442" t="s">
        <v>1020</v>
      </c>
      <c r="F442" t="s">
        <v>967</v>
      </c>
      <c r="G442" t="s">
        <v>961</v>
      </c>
      <c r="H442">
        <v>0.378</v>
      </c>
      <c r="J442" t="s">
        <v>1208</v>
      </c>
      <c r="K442">
        <v>106095388</v>
      </c>
      <c r="L442" s="2">
        <v>43775</v>
      </c>
      <c r="M442">
        <v>17</v>
      </c>
      <c r="N442">
        <v>1</v>
      </c>
      <c r="O442">
        <v>0</v>
      </c>
      <c r="P442">
        <v>1</v>
      </c>
      <c r="Q442" t="s">
        <v>7</v>
      </c>
      <c r="W442" t="s">
        <v>1348</v>
      </c>
    </row>
    <row r="443" spans="1:28">
      <c r="A443" t="s">
        <v>1021</v>
      </c>
      <c r="B443" t="s">
        <v>965</v>
      </c>
      <c r="C443">
        <v>5.7000000000000002E-2</v>
      </c>
      <c r="D443" t="s">
        <v>762</v>
      </c>
      <c r="E443" t="s">
        <v>1020</v>
      </c>
      <c r="F443" t="s">
        <v>1023</v>
      </c>
      <c r="G443" t="s">
        <v>961</v>
      </c>
      <c r="H443">
        <v>0.39700000000000002</v>
      </c>
      <c r="K443">
        <v>108474558</v>
      </c>
      <c r="L443" s="2">
        <v>46133</v>
      </c>
      <c r="M443">
        <v>2</v>
      </c>
      <c r="N443">
        <v>1</v>
      </c>
      <c r="O443">
        <v>0</v>
      </c>
      <c r="P443">
        <v>1</v>
      </c>
      <c r="Q443" t="s">
        <v>7</v>
      </c>
    </row>
    <row r="444" spans="1:28">
      <c r="A444" t="s">
        <v>1021</v>
      </c>
      <c r="B444" t="s">
        <v>965</v>
      </c>
      <c r="C444">
        <v>7.5999999999999998E-2</v>
      </c>
      <c r="D444" t="s">
        <v>762</v>
      </c>
      <c r="E444" t="s">
        <v>1020</v>
      </c>
      <c r="F444" t="s">
        <v>1023</v>
      </c>
      <c r="G444" t="s">
        <v>961</v>
      </c>
      <c r="H444">
        <v>0.41599999999999998</v>
      </c>
      <c r="K444">
        <v>108324784</v>
      </c>
      <c r="L444" s="2">
        <v>45991</v>
      </c>
      <c r="M444">
        <v>17</v>
      </c>
      <c r="N444">
        <v>1</v>
      </c>
      <c r="O444">
        <v>0</v>
      </c>
      <c r="P444">
        <v>5</v>
      </c>
      <c r="Q444" t="s">
        <v>7</v>
      </c>
    </row>
    <row r="445" spans="1:28">
      <c r="A445" t="s">
        <v>1021</v>
      </c>
      <c r="B445" t="s">
        <v>965</v>
      </c>
      <c r="C445">
        <v>0.5</v>
      </c>
      <c r="D445" t="s">
        <v>756</v>
      </c>
      <c r="E445" t="s">
        <v>968</v>
      </c>
      <c r="F445" t="s">
        <v>1159</v>
      </c>
      <c r="G445" t="s">
        <v>961</v>
      </c>
      <c r="H445">
        <v>0.5</v>
      </c>
      <c r="K445">
        <v>107173238</v>
      </c>
      <c r="L445" s="2">
        <v>44897</v>
      </c>
      <c r="M445">
        <v>17</v>
      </c>
      <c r="N445">
        <v>1</v>
      </c>
      <c r="O445">
        <v>0</v>
      </c>
      <c r="P445">
        <v>1</v>
      </c>
      <c r="Q445" t="s">
        <v>7</v>
      </c>
    </row>
    <row r="446" spans="1:28">
      <c r="A446" t="s">
        <v>1021</v>
      </c>
      <c r="B446" t="s">
        <v>965</v>
      </c>
      <c r="C446">
        <v>0.151</v>
      </c>
      <c r="D446" t="s">
        <v>758</v>
      </c>
      <c r="E446" t="s">
        <v>1023</v>
      </c>
      <c r="F446" t="s">
        <v>1020</v>
      </c>
      <c r="G446" t="s">
        <v>961</v>
      </c>
      <c r="H446">
        <v>0.51400000000000001</v>
      </c>
      <c r="K446">
        <v>106871183</v>
      </c>
      <c r="L446" s="2">
        <v>44615</v>
      </c>
      <c r="M446">
        <v>17</v>
      </c>
      <c r="N446">
        <v>1</v>
      </c>
      <c r="O446">
        <v>0</v>
      </c>
      <c r="P446">
        <v>5</v>
      </c>
      <c r="Q446" t="s">
        <v>7</v>
      </c>
    </row>
    <row r="447" spans="1:28">
      <c r="A447" t="s">
        <v>1021</v>
      </c>
      <c r="B447" t="s">
        <v>965</v>
      </c>
      <c r="C447">
        <v>0.15</v>
      </c>
      <c r="D447" t="s">
        <v>758</v>
      </c>
      <c r="E447" t="s">
        <v>1037</v>
      </c>
      <c r="F447" t="s">
        <v>1038</v>
      </c>
      <c r="G447" t="s">
        <v>961</v>
      </c>
      <c r="H447">
        <v>0.51500000000000001</v>
      </c>
      <c r="K447">
        <v>108545121</v>
      </c>
      <c r="L447" s="2">
        <v>46203</v>
      </c>
      <c r="M447">
        <v>18</v>
      </c>
      <c r="N447">
        <v>1</v>
      </c>
      <c r="O447">
        <v>0</v>
      </c>
      <c r="P447">
        <v>1</v>
      </c>
      <c r="Q447" t="s">
        <v>7</v>
      </c>
    </row>
    <row r="448" spans="1:28">
      <c r="A448" t="s">
        <v>1021</v>
      </c>
      <c r="B448" t="s">
        <v>965</v>
      </c>
      <c r="C448">
        <v>4.7E-2</v>
      </c>
      <c r="D448" t="s">
        <v>758</v>
      </c>
      <c r="E448" t="s">
        <v>1023</v>
      </c>
      <c r="F448" t="s">
        <v>1056</v>
      </c>
      <c r="G448" t="s">
        <v>961</v>
      </c>
      <c r="H448">
        <v>0.61799999999999999</v>
      </c>
      <c r="K448">
        <v>107173234</v>
      </c>
      <c r="L448" s="2">
        <v>44895</v>
      </c>
      <c r="M448">
        <v>17</v>
      </c>
      <c r="N448">
        <v>1</v>
      </c>
      <c r="O448">
        <v>0</v>
      </c>
      <c r="P448">
        <v>5</v>
      </c>
      <c r="Q448" t="s">
        <v>3</v>
      </c>
    </row>
    <row r="449" spans="1:23">
      <c r="A449" t="s">
        <v>1021</v>
      </c>
      <c r="B449" t="s">
        <v>965</v>
      </c>
      <c r="C449">
        <v>3.7999999999999999E-2</v>
      </c>
      <c r="D449" t="s">
        <v>765</v>
      </c>
      <c r="E449" t="s">
        <v>1023</v>
      </c>
      <c r="F449" t="s">
        <v>1020</v>
      </c>
      <c r="G449" t="s">
        <v>961</v>
      </c>
      <c r="H449">
        <v>0.627</v>
      </c>
      <c r="K449">
        <v>107819536</v>
      </c>
      <c r="L449" s="2">
        <v>45519</v>
      </c>
      <c r="M449">
        <v>28</v>
      </c>
      <c r="N449">
        <v>1</v>
      </c>
      <c r="O449">
        <v>0</v>
      </c>
      <c r="P449">
        <v>1</v>
      </c>
      <c r="Q449" t="s">
        <v>7</v>
      </c>
    </row>
    <row r="450" spans="1:23">
      <c r="A450" t="s">
        <v>1021</v>
      </c>
      <c r="B450" t="s">
        <v>965</v>
      </c>
      <c r="C450">
        <v>0.2</v>
      </c>
      <c r="D450" t="s">
        <v>758</v>
      </c>
      <c r="E450" t="s">
        <v>1039</v>
      </c>
      <c r="F450" t="s">
        <v>1023</v>
      </c>
      <c r="G450" t="s">
        <v>961</v>
      </c>
      <c r="H450">
        <v>0.63900000000000001</v>
      </c>
      <c r="K450">
        <v>105646386</v>
      </c>
      <c r="L450" s="2">
        <v>43378</v>
      </c>
      <c r="M450">
        <v>21</v>
      </c>
      <c r="N450">
        <v>1</v>
      </c>
      <c r="O450">
        <v>7</v>
      </c>
      <c r="P450">
        <v>1</v>
      </c>
      <c r="Q450" t="s">
        <v>3</v>
      </c>
    </row>
    <row r="451" spans="1:23">
      <c r="A451" t="s">
        <v>1021</v>
      </c>
      <c r="B451" t="s">
        <v>965</v>
      </c>
      <c r="C451">
        <v>0.3</v>
      </c>
      <c r="D451" t="s">
        <v>756</v>
      </c>
      <c r="E451" t="s">
        <v>1020</v>
      </c>
      <c r="F451" t="s">
        <v>1023</v>
      </c>
      <c r="G451" t="s">
        <v>961</v>
      </c>
      <c r="H451">
        <v>0.64</v>
      </c>
      <c r="K451">
        <v>106802281</v>
      </c>
      <c r="L451" s="2">
        <v>44478</v>
      </c>
      <c r="M451">
        <v>21</v>
      </c>
      <c r="N451">
        <v>1</v>
      </c>
      <c r="O451">
        <v>0</v>
      </c>
      <c r="P451">
        <v>1</v>
      </c>
      <c r="Q451" t="s">
        <v>7</v>
      </c>
    </row>
    <row r="452" spans="1:23">
      <c r="A452" t="s">
        <v>1021</v>
      </c>
      <c r="B452" t="s">
        <v>965</v>
      </c>
      <c r="C452">
        <v>1.9E-2</v>
      </c>
      <c r="D452" t="s">
        <v>765</v>
      </c>
      <c r="E452" t="s">
        <v>1023</v>
      </c>
      <c r="F452" t="s">
        <v>1020</v>
      </c>
      <c r="G452" t="s">
        <v>961</v>
      </c>
      <c r="H452">
        <v>0.64600000000000002</v>
      </c>
      <c r="K452">
        <v>107644019</v>
      </c>
      <c r="L452" s="2">
        <v>45355</v>
      </c>
      <c r="M452">
        <v>21</v>
      </c>
      <c r="N452">
        <v>1</v>
      </c>
      <c r="O452">
        <v>0</v>
      </c>
      <c r="P452">
        <v>1</v>
      </c>
      <c r="Q452" t="s">
        <v>7</v>
      </c>
    </row>
    <row r="453" spans="1:23">
      <c r="A453" t="s">
        <v>1021</v>
      </c>
      <c r="B453" t="s">
        <v>965</v>
      </c>
      <c r="C453">
        <v>2E-3</v>
      </c>
      <c r="D453" t="s">
        <v>758</v>
      </c>
      <c r="E453" t="s">
        <v>1023</v>
      </c>
      <c r="F453" t="s">
        <v>963</v>
      </c>
      <c r="G453" t="s">
        <v>961</v>
      </c>
      <c r="H453">
        <v>0.66300000000000003</v>
      </c>
      <c r="J453" t="s">
        <v>1208</v>
      </c>
      <c r="K453">
        <v>106211370</v>
      </c>
      <c r="L453" s="2">
        <v>43888</v>
      </c>
      <c r="M453">
        <v>28</v>
      </c>
      <c r="N453">
        <v>1</v>
      </c>
      <c r="O453">
        <v>7</v>
      </c>
      <c r="P453">
        <v>4</v>
      </c>
      <c r="Q453" t="s">
        <v>7</v>
      </c>
      <c r="W453" t="s">
        <v>1350</v>
      </c>
    </row>
    <row r="454" spans="1:23">
      <c r="A454" t="s">
        <v>1021</v>
      </c>
      <c r="B454" t="s">
        <v>1023</v>
      </c>
      <c r="C454">
        <v>0</v>
      </c>
      <c r="E454" t="s">
        <v>965</v>
      </c>
      <c r="F454" t="s">
        <v>1135</v>
      </c>
      <c r="G454" t="s">
        <v>961</v>
      </c>
      <c r="H454">
        <v>0.66500000000000004</v>
      </c>
      <c r="K454">
        <v>106802345</v>
      </c>
      <c r="L454" s="2">
        <v>44502</v>
      </c>
      <c r="M454">
        <v>23</v>
      </c>
      <c r="N454">
        <v>1</v>
      </c>
      <c r="O454">
        <v>7</v>
      </c>
      <c r="P454">
        <v>5</v>
      </c>
      <c r="Q454" t="s">
        <v>3</v>
      </c>
    </row>
    <row r="455" spans="1:23">
      <c r="A455" t="s">
        <v>1021</v>
      </c>
      <c r="B455" t="s">
        <v>1023</v>
      </c>
      <c r="C455">
        <v>0</v>
      </c>
      <c r="E455" t="s">
        <v>965</v>
      </c>
      <c r="F455" t="s">
        <v>1067</v>
      </c>
      <c r="G455" t="s">
        <v>961</v>
      </c>
      <c r="H455">
        <v>0.66500000000000004</v>
      </c>
      <c r="K455">
        <v>106480728</v>
      </c>
      <c r="L455" s="2">
        <v>44183</v>
      </c>
      <c r="M455">
        <v>21</v>
      </c>
      <c r="N455">
        <v>1</v>
      </c>
      <c r="O455">
        <v>7</v>
      </c>
      <c r="P455">
        <v>1</v>
      </c>
      <c r="Q455" t="s">
        <v>7</v>
      </c>
    </row>
    <row r="456" spans="1:23">
      <c r="A456" t="s">
        <v>1021</v>
      </c>
      <c r="B456" t="s">
        <v>1023</v>
      </c>
      <c r="C456">
        <v>0</v>
      </c>
      <c r="E456" t="s">
        <v>965</v>
      </c>
      <c r="F456" t="s">
        <v>1037</v>
      </c>
      <c r="G456" t="s">
        <v>961</v>
      </c>
      <c r="H456">
        <v>0.66500000000000004</v>
      </c>
      <c r="K456">
        <v>107506776</v>
      </c>
      <c r="L456" s="2">
        <v>45228</v>
      </c>
      <c r="M456">
        <v>26</v>
      </c>
      <c r="N456">
        <v>1</v>
      </c>
      <c r="O456">
        <v>7</v>
      </c>
      <c r="P456">
        <v>1</v>
      </c>
      <c r="Q456" t="s">
        <v>7</v>
      </c>
    </row>
    <row r="457" spans="1:23">
      <c r="A457" t="s">
        <v>1021</v>
      </c>
      <c r="B457" t="s">
        <v>1023</v>
      </c>
      <c r="C457">
        <v>0</v>
      </c>
      <c r="E457" t="s">
        <v>965</v>
      </c>
      <c r="F457" t="s">
        <v>1037</v>
      </c>
      <c r="G457" t="s">
        <v>961</v>
      </c>
      <c r="H457">
        <v>0.66500000000000004</v>
      </c>
      <c r="K457">
        <v>106883178</v>
      </c>
      <c r="L457" s="2">
        <v>44628</v>
      </c>
      <c r="M457">
        <v>28</v>
      </c>
      <c r="N457">
        <v>2</v>
      </c>
      <c r="O457">
        <v>7</v>
      </c>
      <c r="P457">
        <v>2</v>
      </c>
      <c r="Q457" t="s">
        <v>7</v>
      </c>
    </row>
    <row r="458" spans="1:23">
      <c r="A458" t="s">
        <v>1021</v>
      </c>
      <c r="B458" t="s">
        <v>1023</v>
      </c>
      <c r="C458">
        <v>0</v>
      </c>
      <c r="E458" t="s">
        <v>965</v>
      </c>
      <c r="F458" t="s">
        <v>1037</v>
      </c>
      <c r="G458" t="s">
        <v>961</v>
      </c>
      <c r="H458">
        <v>0.66500000000000004</v>
      </c>
      <c r="K458">
        <v>106001233</v>
      </c>
      <c r="L458" s="2">
        <v>43712</v>
      </c>
      <c r="M458">
        <v>30</v>
      </c>
      <c r="N458">
        <v>1</v>
      </c>
      <c r="O458">
        <v>7</v>
      </c>
      <c r="P458">
        <v>7</v>
      </c>
      <c r="Q458" t="s">
        <v>7</v>
      </c>
    </row>
    <row r="459" spans="1:23">
      <c r="A459" t="s">
        <v>1021</v>
      </c>
      <c r="B459" t="s">
        <v>1023</v>
      </c>
      <c r="C459">
        <v>0</v>
      </c>
      <c r="D459" t="s">
        <v>6</v>
      </c>
      <c r="E459" t="s">
        <v>965</v>
      </c>
      <c r="F459" t="s">
        <v>1037</v>
      </c>
      <c r="G459" t="s">
        <v>961</v>
      </c>
      <c r="H459">
        <v>0.66500000000000004</v>
      </c>
      <c r="K459">
        <v>107993612</v>
      </c>
      <c r="L459" s="2">
        <v>45674</v>
      </c>
      <c r="M459">
        <v>30</v>
      </c>
      <c r="N459">
        <v>1</v>
      </c>
      <c r="O459">
        <v>0</v>
      </c>
      <c r="P459">
        <v>1</v>
      </c>
      <c r="Q459" t="s">
        <v>7</v>
      </c>
    </row>
    <row r="460" spans="1:23">
      <c r="A460" t="s">
        <v>1021</v>
      </c>
      <c r="B460" t="s">
        <v>1023</v>
      </c>
      <c r="C460">
        <v>0</v>
      </c>
      <c r="E460" t="s">
        <v>965</v>
      </c>
      <c r="F460" t="s">
        <v>1042</v>
      </c>
      <c r="G460" t="s">
        <v>961</v>
      </c>
      <c r="H460">
        <v>0.66500000000000004</v>
      </c>
      <c r="K460">
        <v>107920550</v>
      </c>
      <c r="L460" s="2">
        <v>45610</v>
      </c>
      <c r="M460">
        <v>15</v>
      </c>
      <c r="N460">
        <v>1</v>
      </c>
      <c r="O460">
        <v>0</v>
      </c>
      <c r="P460">
        <v>1</v>
      </c>
      <c r="Q460" t="s">
        <v>3</v>
      </c>
      <c r="R460">
        <v>35.175645000000003</v>
      </c>
      <c r="S460">
        <v>-79.420618000000005</v>
      </c>
      <c r="T460" t="s">
        <v>1060</v>
      </c>
      <c r="U460" t="s">
        <v>367</v>
      </c>
      <c r="V460">
        <v>0.45029999999999998</v>
      </c>
    </row>
    <row r="461" spans="1:23">
      <c r="A461" t="s">
        <v>1021</v>
      </c>
      <c r="B461" t="s">
        <v>1023</v>
      </c>
      <c r="C461">
        <v>0</v>
      </c>
      <c r="E461" t="s">
        <v>965</v>
      </c>
      <c r="F461" t="s">
        <v>1042</v>
      </c>
      <c r="G461" t="s">
        <v>961</v>
      </c>
      <c r="H461">
        <v>0.66500000000000004</v>
      </c>
      <c r="K461">
        <v>107863754</v>
      </c>
      <c r="L461" s="2">
        <v>45561</v>
      </c>
      <c r="M461">
        <v>21</v>
      </c>
      <c r="N461">
        <v>2</v>
      </c>
      <c r="O461">
        <v>7</v>
      </c>
      <c r="P461">
        <v>1</v>
      </c>
      <c r="Q461" t="s">
        <v>7</v>
      </c>
    </row>
    <row r="462" spans="1:23">
      <c r="A462" t="s">
        <v>1021</v>
      </c>
      <c r="B462" t="s">
        <v>1023</v>
      </c>
      <c r="C462">
        <v>0</v>
      </c>
      <c r="E462" t="s">
        <v>965</v>
      </c>
      <c r="F462" t="s">
        <v>1042</v>
      </c>
      <c r="G462" t="s">
        <v>961</v>
      </c>
      <c r="H462">
        <v>0.66500000000000004</v>
      </c>
      <c r="K462">
        <v>106000019</v>
      </c>
      <c r="L462" s="2">
        <v>43707</v>
      </c>
      <c r="M462">
        <v>22</v>
      </c>
      <c r="N462">
        <v>1</v>
      </c>
      <c r="O462">
        <v>7</v>
      </c>
      <c r="P462">
        <v>1</v>
      </c>
      <c r="Q462" t="s">
        <v>3</v>
      </c>
    </row>
    <row r="463" spans="1:23">
      <c r="A463" t="s">
        <v>1021</v>
      </c>
      <c r="B463" t="s">
        <v>1023</v>
      </c>
      <c r="C463">
        <v>0</v>
      </c>
      <c r="E463" t="s">
        <v>965</v>
      </c>
      <c r="G463" t="s">
        <v>961</v>
      </c>
      <c r="H463">
        <v>0.66500000000000004</v>
      </c>
      <c r="K463">
        <v>107564797</v>
      </c>
      <c r="L463" s="2">
        <v>45275</v>
      </c>
      <c r="M463">
        <v>21</v>
      </c>
      <c r="N463">
        <v>1</v>
      </c>
      <c r="O463">
        <v>7</v>
      </c>
      <c r="P463">
        <v>4</v>
      </c>
      <c r="Q463" t="s">
        <v>7</v>
      </c>
    </row>
    <row r="464" spans="1:23">
      <c r="A464" t="s">
        <v>1021</v>
      </c>
      <c r="B464" t="s">
        <v>965</v>
      </c>
      <c r="C464">
        <v>0</v>
      </c>
      <c r="E464" t="s">
        <v>1023</v>
      </c>
      <c r="F464" t="s">
        <v>1135</v>
      </c>
      <c r="G464" t="s">
        <v>961</v>
      </c>
      <c r="H464">
        <v>0.66500000000000004</v>
      </c>
      <c r="K464">
        <v>107050946</v>
      </c>
      <c r="L464" s="2">
        <v>44791</v>
      </c>
      <c r="M464">
        <v>28</v>
      </c>
      <c r="N464">
        <v>1</v>
      </c>
      <c r="O464">
        <v>0</v>
      </c>
      <c r="P464">
        <v>1</v>
      </c>
      <c r="Q464" t="s">
        <v>7</v>
      </c>
    </row>
    <row r="465" spans="1:23">
      <c r="A465" t="s">
        <v>1021</v>
      </c>
      <c r="B465" t="s">
        <v>965</v>
      </c>
      <c r="C465">
        <v>0</v>
      </c>
      <c r="E465" t="s">
        <v>1023</v>
      </c>
      <c r="F465" t="s">
        <v>1135</v>
      </c>
      <c r="G465" t="s">
        <v>961</v>
      </c>
      <c r="H465">
        <v>0.66500000000000004</v>
      </c>
      <c r="K465">
        <v>107047314</v>
      </c>
      <c r="L465" s="2">
        <v>44789</v>
      </c>
      <c r="M465">
        <v>30</v>
      </c>
      <c r="N465">
        <v>2</v>
      </c>
      <c r="O465">
        <v>7</v>
      </c>
      <c r="P465">
        <v>1</v>
      </c>
      <c r="Q465" t="s">
        <v>7</v>
      </c>
    </row>
    <row r="466" spans="1:23">
      <c r="A466" t="s">
        <v>1021</v>
      </c>
      <c r="B466" t="s">
        <v>965</v>
      </c>
      <c r="C466">
        <v>0</v>
      </c>
      <c r="E466" t="s">
        <v>1023</v>
      </c>
      <c r="F466" t="s">
        <v>1038</v>
      </c>
      <c r="G466" t="s">
        <v>961</v>
      </c>
      <c r="H466">
        <v>0.66500000000000004</v>
      </c>
      <c r="K466">
        <v>107963003</v>
      </c>
      <c r="L466" s="2">
        <v>45644</v>
      </c>
      <c r="M466">
        <v>23</v>
      </c>
      <c r="N466">
        <v>1</v>
      </c>
      <c r="O466">
        <v>7</v>
      </c>
      <c r="P466">
        <v>4</v>
      </c>
      <c r="Q466" t="s">
        <v>3</v>
      </c>
    </row>
    <row r="467" spans="1:23">
      <c r="A467" t="s">
        <v>1021</v>
      </c>
      <c r="B467" t="s">
        <v>965</v>
      </c>
      <c r="C467">
        <v>0</v>
      </c>
      <c r="E467" t="s">
        <v>1023</v>
      </c>
      <c r="F467" t="s">
        <v>967</v>
      </c>
      <c r="G467" t="s">
        <v>961</v>
      </c>
      <c r="H467">
        <v>0.66500000000000004</v>
      </c>
      <c r="J467" t="s">
        <v>1208</v>
      </c>
      <c r="K467">
        <v>107254035</v>
      </c>
      <c r="L467" s="2">
        <v>44982</v>
      </c>
      <c r="M467">
        <v>28</v>
      </c>
      <c r="N467">
        <v>1</v>
      </c>
      <c r="O467">
        <v>0</v>
      </c>
      <c r="P467">
        <v>1</v>
      </c>
      <c r="Q467" t="s">
        <v>7</v>
      </c>
      <c r="W467" t="s">
        <v>1350</v>
      </c>
    </row>
    <row r="468" spans="1:23">
      <c r="A468" t="s">
        <v>1021</v>
      </c>
      <c r="B468" t="s">
        <v>965</v>
      </c>
      <c r="C468">
        <v>0</v>
      </c>
      <c r="E468" t="s">
        <v>1023</v>
      </c>
      <c r="F468" t="s">
        <v>967</v>
      </c>
      <c r="G468" t="s">
        <v>961</v>
      </c>
      <c r="H468">
        <v>0.66500000000000004</v>
      </c>
      <c r="J468" t="s">
        <v>1208</v>
      </c>
      <c r="K468">
        <v>107536974</v>
      </c>
      <c r="L468" s="2">
        <v>45252</v>
      </c>
      <c r="M468">
        <v>28</v>
      </c>
      <c r="N468">
        <v>1</v>
      </c>
      <c r="O468">
        <v>7</v>
      </c>
      <c r="P468">
        <v>1</v>
      </c>
      <c r="Q468" t="s">
        <v>7</v>
      </c>
      <c r="W468" t="s">
        <v>1350</v>
      </c>
    </row>
    <row r="469" spans="1:23">
      <c r="A469" t="s">
        <v>1021</v>
      </c>
      <c r="B469" t="s">
        <v>965</v>
      </c>
      <c r="C469">
        <v>0</v>
      </c>
      <c r="D469" t="s">
        <v>756</v>
      </c>
      <c r="E469" t="s">
        <v>1023</v>
      </c>
      <c r="F469" t="s">
        <v>1064</v>
      </c>
      <c r="G469" t="s">
        <v>961</v>
      </c>
      <c r="H469">
        <v>0.66500000000000004</v>
      </c>
      <c r="K469">
        <v>105514658</v>
      </c>
      <c r="L469" s="2">
        <v>43263</v>
      </c>
      <c r="M469">
        <v>30</v>
      </c>
      <c r="N469">
        <v>1</v>
      </c>
      <c r="O469">
        <v>7</v>
      </c>
      <c r="P469">
        <v>1</v>
      </c>
      <c r="Q469" t="s">
        <v>8</v>
      </c>
    </row>
    <row r="470" spans="1:23">
      <c r="A470" t="s">
        <v>1021</v>
      </c>
      <c r="B470" t="s">
        <v>965</v>
      </c>
      <c r="C470">
        <v>0</v>
      </c>
      <c r="E470" t="s">
        <v>1023</v>
      </c>
      <c r="F470" t="s">
        <v>1064</v>
      </c>
      <c r="G470" t="s">
        <v>961</v>
      </c>
      <c r="H470">
        <v>0.66500000000000004</v>
      </c>
      <c r="K470">
        <v>106802290</v>
      </c>
      <c r="L470" s="2">
        <v>44483</v>
      </c>
      <c r="M470">
        <v>30</v>
      </c>
      <c r="N470">
        <v>1</v>
      </c>
      <c r="O470">
        <v>7</v>
      </c>
      <c r="P470">
        <v>1</v>
      </c>
      <c r="Q470" t="s">
        <v>3</v>
      </c>
    </row>
    <row r="471" spans="1:23">
      <c r="A471" t="s">
        <v>1021</v>
      </c>
      <c r="B471" t="s">
        <v>965</v>
      </c>
      <c r="C471">
        <v>0</v>
      </c>
      <c r="E471" t="s">
        <v>1023</v>
      </c>
      <c r="F471" t="s">
        <v>1056</v>
      </c>
      <c r="G471" t="s">
        <v>961</v>
      </c>
      <c r="H471">
        <v>0.66500000000000004</v>
      </c>
      <c r="K471">
        <v>106802231</v>
      </c>
      <c r="L471" s="2">
        <v>44451</v>
      </c>
      <c r="M471">
        <v>21</v>
      </c>
      <c r="N471">
        <v>1</v>
      </c>
      <c r="O471">
        <v>7</v>
      </c>
      <c r="P471">
        <v>1</v>
      </c>
      <c r="Q471" t="s">
        <v>7</v>
      </c>
    </row>
    <row r="472" spans="1:23">
      <c r="A472" t="s">
        <v>1021</v>
      </c>
      <c r="B472" t="s">
        <v>965</v>
      </c>
      <c r="C472">
        <v>0</v>
      </c>
      <c r="E472" t="s">
        <v>1023</v>
      </c>
      <c r="F472" t="s">
        <v>1056</v>
      </c>
      <c r="G472" t="s">
        <v>961</v>
      </c>
      <c r="H472">
        <v>0.66500000000000004</v>
      </c>
      <c r="K472">
        <v>105277907</v>
      </c>
      <c r="L472" s="2">
        <v>43036</v>
      </c>
      <c r="M472">
        <v>30</v>
      </c>
      <c r="N472">
        <v>1</v>
      </c>
      <c r="O472">
        <v>7</v>
      </c>
      <c r="P472">
        <v>5</v>
      </c>
      <c r="Q472" t="s">
        <v>7</v>
      </c>
    </row>
    <row r="473" spans="1:23">
      <c r="A473" t="s">
        <v>1021</v>
      </c>
      <c r="B473" t="s">
        <v>965</v>
      </c>
      <c r="C473">
        <v>0</v>
      </c>
      <c r="E473" t="s">
        <v>1023</v>
      </c>
      <c r="F473" t="s">
        <v>1067</v>
      </c>
      <c r="G473" t="s">
        <v>961</v>
      </c>
      <c r="H473">
        <v>0.66500000000000004</v>
      </c>
      <c r="K473">
        <v>105233221</v>
      </c>
      <c r="L473" s="2">
        <v>42983</v>
      </c>
      <c r="M473">
        <v>30</v>
      </c>
      <c r="N473">
        <v>1</v>
      </c>
      <c r="O473">
        <v>7</v>
      </c>
      <c r="P473">
        <v>1</v>
      </c>
      <c r="Q473" t="s">
        <v>8</v>
      </c>
    </row>
    <row r="474" spans="1:23">
      <c r="A474" t="s">
        <v>1021</v>
      </c>
      <c r="B474" t="s">
        <v>965</v>
      </c>
      <c r="C474">
        <v>0</v>
      </c>
      <c r="E474" t="s">
        <v>1023</v>
      </c>
      <c r="F474" t="s">
        <v>1037</v>
      </c>
      <c r="G474" t="s">
        <v>961</v>
      </c>
      <c r="H474">
        <v>0.66500000000000004</v>
      </c>
      <c r="K474">
        <v>107275210</v>
      </c>
      <c r="L474" s="2">
        <v>45002</v>
      </c>
      <c r="M474">
        <v>0</v>
      </c>
      <c r="N474">
        <v>2</v>
      </c>
      <c r="O474">
        <v>7</v>
      </c>
      <c r="P474">
        <v>4</v>
      </c>
      <c r="Q474" t="s">
        <v>3</v>
      </c>
    </row>
    <row r="475" spans="1:23">
      <c r="A475" t="s">
        <v>1021</v>
      </c>
      <c r="B475" t="s">
        <v>965</v>
      </c>
      <c r="C475">
        <v>0</v>
      </c>
      <c r="D475" t="s">
        <v>756</v>
      </c>
      <c r="E475" t="s">
        <v>1023</v>
      </c>
      <c r="F475" t="s">
        <v>1037</v>
      </c>
      <c r="G475" t="s">
        <v>961</v>
      </c>
      <c r="H475">
        <v>0.66500000000000004</v>
      </c>
      <c r="K475">
        <v>106802337</v>
      </c>
      <c r="L475" s="2">
        <v>44500</v>
      </c>
      <c r="M475">
        <v>21</v>
      </c>
      <c r="N475">
        <v>1</v>
      </c>
      <c r="O475">
        <v>7</v>
      </c>
      <c r="P475">
        <v>1</v>
      </c>
      <c r="Q475" t="s">
        <v>7</v>
      </c>
    </row>
    <row r="476" spans="1:23">
      <c r="A476" t="s">
        <v>1021</v>
      </c>
      <c r="B476" t="s">
        <v>965</v>
      </c>
      <c r="C476">
        <v>0</v>
      </c>
      <c r="E476" t="s">
        <v>1023</v>
      </c>
      <c r="F476" t="s">
        <v>1037</v>
      </c>
      <c r="G476" t="s">
        <v>961</v>
      </c>
      <c r="H476">
        <v>0.66500000000000004</v>
      </c>
      <c r="K476">
        <v>105881663</v>
      </c>
      <c r="L476" s="2">
        <v>43595</v>
      </c>
      <c r="M476">
        <v>27</v>
      </c>
      <c r="N476">
        <v>1</v>
      </c>
      <c r="O476">
        <v>7</v>
      </c>
      <c r="P476">
        <v>5</v>
      </c>
      <c r="Q476" t="s">
        <v>7</v>
      </c>
    </row>
    <row r="477" spans="1:23">
      <c r="A477" t="s">
        <v>1021</v>
      </c>
      <c r="B477" t="s">
        <v>965</v>
      </c>
      <c r="C477">
        <v>0</v>
      </c>
      <c r="E477" t="s">
        <v>1023</v>
      </c>
      <c r="F477" t="s">
        <v>1037</v>
      </c>
      <c r="G477" t="s">
        <v>961</v>
      </c>
      <c r="H477">
        <v>0.66500000000000004</v>
      </c>
      <c r="K477">
        <v>108009366</v>
      </c>
      <c r="L477" s="2">
        <v>45689</v>
      </c>
      <c r="M477">
        <v>28</v>
      </c>
      <c r="N477">
        <v>1</v>
      </c>
      <c r="O477">
        <v>7</v>
      </c>
      <c r="P477">
        <v>1</v>
      </c>
      <c r="Q477" t="s">
        <v>7</v>
      </c>
    </row>
    <row r="478" spans="1:23">
      <c r="A478" t="s">
        <v>1021</v>
      </c>
      <c r="B478" t="s">
        <v>965</v>
      </c>
      <c r="C478">
        <v>0</v>
      </c>
      <c r="E478" t="s">
        <v>1023</v>
      </c>
      <c r="F478" t="s">
        <v>1037</v>
      </c>
      <c r="G478" t="s">
        <v>961</v>
      </c>
      <c r="H478">
        <v>0.66500000000000004</v>
      </c>
      <c r="K478">
        <v>106521746</v>
      </c>
      <c r="L478" s="2">
        <v>44233</v>
      </c>
      <c r="M478">
        <v>30</v>
      </c>
      <c r="N478">
        <v>2</v>
      </c>
      <c r="O478">
        <v>7</v>
      </c>
      <c r="P478">
        <v>5</v>
      </c>
      <c r="Q478" t="s">
        <v>7</v>
      </c>
    </row>
    <row r="479" spans="1:23">
      <c r="A479" t="s">
        <v>1021</v>
      </c>
      <c r="B479" t="s">
        <v>965</v>
      </c>
      <c r="C479">
        <v>0</v>
      </c>
      <c r="E479" t="s">
        <v>1023</v>
      </c>
      <c r="F479" t="s">
        <v>1037</v>
      </c>
      <c r="G479" t="s">
        <v>961</v>
      </c>
      <c r="H479">
        <v>0.66500000000000004</v>
      </c>
      <c r="K479">
        <v>106868723</v>
      </c>
      <c r="L479" s="2">
        <v>44613</v>
      </c>
      <c r="M479">
        <v>30</v>
      </c>
      <c r="N479">
        <v>1</v>
      </c>
      <c r="O479">
        <v>7</v>
      </c>
      <c r="P479">
        <v>1</v>
      </c>
      <c r="Q479" t="s">
        <v>7</v>
      </c>
    </row>
    <row r="480" spans="1:23">
      <c r="A480" t="s">
        <v>1021</v>
      </c>
      <c r="B480" t="s">
        <v>965</v>
      </c>
      <c r="C480">
        <v>0</v>
      </c>
      <c r="E480" t="s">
        <v>1023</v>
      </c>
      <c r="F480" t="s">
        <v>1037</v>
      </c>
      <c r="G480" t="s">
        <v>961</v>
      </c>
      <c r="H480">
        <v>0.66500000000000004</v>
      </c>
      <c r="K480">
        <v>108153236</v>
      </c>
      <c r="L480" s="2">
        <v>45833</v>
      </c>
      <c r="M480">
        <v>30</v>
      </c>
      <c r="N480">
        <v>1</v>
      </c>
      <c r="O480">
        <v>7</v>
      </c>
      <c r="P480">
        <v>1</v>
      </c>
      <c r="Q480" t="s">
        <v>3</v>
      </c>
    </row>
    <row r="481" spans="1:17">
      <c r="A481" t="s">
        <v>1021</v>
      </c>
      <c r="B481" t="s">
        <v>965</v>
      </c>
      <c r="C481">
        <v>0</v>
      </c>
      <c r="E481" t="s">
        <v>1023</v>
      </c>
      <c r="F481" t="s">
        <v>1037</v>
      </c>
      <c r="G481" t="s">
        <v>961</v>
      </c>
      <c r="H481">
        <v>0.66500000000000004</v>
      </c>
      <c r="K481">
        <v>108410603</v>
      </c>
      <c r="L481" s="2">
        <v>46077</v>
      </c>
      <c r="M481">
        <v>30</v>
      </c>
      <c r="N481">
        <v>1</v>
      </c>
      <c r="O481">
        <v>7</v>
      </c>
      <c r="P481">
        <v>1</v>
      </c>
      <c r="Q481" t="s">
        <v>8</v>
      </c>
    </row>
    <row r="482" spans="1:17">
      <c r="A482" t="s">
        <v>1021</v>
      </c>
      <c r="B482" t="s">
        <v>965</v>
      </c>
      <c r="C482">
        <v>0</v>
      </c>
      <c r="E482" t="s">
        <v>1023</v>
      </c>
      <c r="F482" t="s">
        <v>1039</v>
      </c>
      <c r="G482" t="s">
        <v>961</v>
      </c>
      <c r="H482">
        <v>0.66500000000000004</v>
      </c>
      <c r="K482">
        <v>106064309</v>
      </c>
      <c r="L482" s="2">
        <v>43756</v>
      </c>
      <c r="M482">
        <v>21</v>
      </c>
      <c r="N482">
        <v>1</v>
      </c>
      <c r="O482">
        <v>7</v>
      </c>
      <c r="P482">
        <v>3</v>
      </c>
      <c r="Q482" t="s">
        <v>7</v>
      </c>
    </row>
    <row r="483" spans="1:17">
      <c r="A483" t="s">
        <v>1021</v>
      </c>
      <c r="B483" t="s">
        <v>965</v>
      </c>
      <c r="C483">
        <v>0</v>
      </c>
      <c r="E483" t="s">
        <v>1023</v>
      </c>
      <c r="F483" t="s">
        <v>1039</v>
      </c>
      <c r="G483" t="s">
        <v>961</v>
      </c>
      <c r="H483">
        <v>0.66500000000000004</v>
      </c>
      <c r="K483">
        <v>108465677</v>
      </c>
      <c r="L483" s="2">
        <v>46086</v>
      </c>
      <c r="M483">
        <v>21</v>
      </c>
      <c r="N483">
        <v>1</v>
      </c>
      <c r="O483">
        <v>7</v>
      </c>
      <c r="P483">
        <v>1</v>
      </c>
      <c r="Q483" t="s">
        <v>3</v>
      </c>
    </row>
    <row r="484" spans="1:17">
      <c r="A484" t="s">
        <v>1021</v>
      </c>
      <c r="B484" t="s">
        <v>965</v>
      </c>
      <c r="C484">
        <v>0</v>
      </c>
      <c r="E484" t="s">
        <v>1023</v>
      </c>
      <c r="F484" t="s">
        <v>1039</v>
      </c>
      <c r="G484" t="s">
        <v>961</v>
      </c>
      <c r="H484">
        <v>0.66500000000000004</v>
      </c>
      <c r="K484">
        <v>107720323</v>
      </c>
      <c r="L484" s="2">
        <v>45427</v>
      </c>
      <c r="M484">
        <v>24</v>
      </c>
      <c r="N484">
        <v>1</v>
      </c>
      <c r="O484">
        <v>0</v>
      </c>
      <c r="P484">
        <v>1</v>
      </c>
      <c r="Q484" t="s">
        <v>7</v>
      </c>
    </row>
    <row r="485" spans="1:17">
      <c r="A485" t="s">
        <v>1021</v>
      </c>
      <c r="B485" t="s">
        <v>965</v>
      </c>
      <c r="C485">
        <v>0</v>
      </c>
      <c r="E485" t="s">
        <v>1023</v>
      </c>
      <c r="F485" t="s">
        <v>1039</v>
      </c>
      <c r="G485" t="s">
        <v>961</v>
      </c>
      <c r="H485">
        <v>0.66500000000000004</v>
      </c>
      <c r="K485">
        <v>106000030</v>
      </c>
      <c r="L485" s="2">
        <v>43709</v>
      </c>
      <c r="M485">
        <v>30</v>
      </c>
      <c r="N485">
        <v>1</v>
      </c>
      <c r="O485">
        <v>7</v>
      </c>
      <c r="P485">
        <v>1</v>
      </c>
      <c r="Q485" t="s">
        <v>8</v>
      </c>
    </row>
    <row r="486" spans="1:17">
      <c r="A486" t="s">
        <v>1021</v>
      </c>
      <c r="B486" t="s">
        <v>965</v>
      </c>
      <c r="C486">
        <v>0</v>
      </c>
      <c r="E486" t="s">
        <v>1023</v>
      </c>
      <c r="F486" t="s">
        <v>1039</v>
      </c>
      <c r="G486" t="s">
        <v>961</v>
      </c>
      <c r="H486">
        <v>0.66500000000000004</v>
      </c>
      <c r="K486">
        <v>105984047</v>
      </c>
      <c r="L486" s="2">
        <v>43691</v>
      </c>
      <c r="M486">
        <v>30</v>
      </c>
      <c r="N486">
        <v>1</v>
      </c>
      <c r="O486">
        <v>7</v>
      </c>
      <c r="P486">
        <v>1</v>
      </c>
      <c r="Q486" t="s">
        <v>7</v>
      </c>
    </row>
    <row r="487" spans="1:17">
      <c r="A487" t="s">
        <v>1021</v>
      </c>
      <c r="B487" t="s">
        <v>965</v>
      </c>
      <c r="C487">
        <v>0</v>
      </c>
      <c r="E487" t="s">
        <v>1023</v>
      </c>
      <c r="F487" t="s">
        <v>1039</v>
      </c>
      <c r="G487" t="s">
        <v>961</v>
      </c>
      <c r="H487">
        <v>0.66500000000000004</v>
      </c>
      <c r="K487">
        <v>106350389</v>
      </c>
      <c r="L487" s="2">
        <v>44064</v>
      </c>
      <c r="M487">
        <v>30</v>
      </c>
      <c r="N487">
        <v>2</v>
      </c>
      <c r="O487">
        <v>7</v>
      </c>
      <c r="P487">
        <v>1</v>
      </c>
      <c r="Q487" t="s">
        <v>8</v>
      </c>
    </row>
    <row r="488" spans="1:17">
      <c r="A488" t="s">
        <v>1021</v>
      </c>
      <c r="B488" t="s">
        <v>965</v>
      </c>
      <c r="C488">
        <v>0</v>
      </c>
      <c r="E488" t="s">
        <v>1023</v>
      </c>
      <c r="F488" t="s">
        <v>1039</v>
      </c>
      <c r="G488" t="s">
        <v>961</v>
      </c>
      <c r="H488">
        <v>0.66500000000000004</v>
      </c>
      <c r="K488">
        <v>106802304</v>
      </c>
      <c r="L488" s="2">
        <v>44490</v>
      </c>
      <c r="M488">
        <v>30</v>
      </c>
      <c r="N488">
        <v>1</v>
      </c>
      <c r="O488">
        <v>7</v>
      </c>
      <c r="P488">
        <v>1</v>
      </c>
      <c r="Q488" t="s">
        <v>7</v>
      </c>
    </row>
    <row r="489" spans="1:17">
      <c r="A489" t="s">
        <v>1021</v>
      </c>
      <c r="B489" t="s">
        <v>965</v>
      </c>
      <c r="C489">
        <v>0</v>
      </c>
      <c r="D489" t="s">
        <v>757</v>
      </c>
      <c r="E489" t="s">
        <v>1023</v>
      </c>
      <c r="F489" t="s">
        <v>1039</v>
      </c>
      <c r="G489" t="s">
        <v>961</v>
      </c>
      <c r="H489">
        <v>0.66500000000000004</v>
      </c>
      <c r="K489">
        <v>107861683</v>
      </c>
      <c r="L489" s="2">
        <v>45560</v>
      </c>
      <c r="M489">
        <v>30</v>
      </c>
      <c r="N489">
        <v>1</v>
      </c>
      <c r="O489">
        <v>0</v>
      </c>
      <c r="P489">
        <v>1</v>
      </c>
      <c r="Q489" t="s">
        <v>7</v>
      </c>
    </row>
    <row r="490" spans="1:17">
      <c r="A490" t="s">
        <v>1021</v>
      </c>
      <c r="B490" t="s">
        <v>965</v>
      </c>
      <c r="C490">
        <v>0</v>
      </c>
      <c r="E490" t="s">
        <v>1023</v>
      </c>
      <c r="F490" t="s">
        <v>1039</v>
      </c>
      <c r="G490" t="s">
        <v>961</v>
      </c>
      <c r="H490">
        <v>0.66500000000000004</v>
      </c>
      <c r="K490">
        <v>108236674</v>
      </c>
      <c r="L490" s="2">
        <v>45918</v>
      </c>
      <c r="M490">
        <v>30</v>
      </c>
      <c r="N490">
        <v>1</v>
      </c>
      <c r="O490">
        <v>7</v>
      </c>
      <c r="P490">
        <v>1</v>
      </c>
      <c r="Q490" t="s">
        <v>7</v>
      </c>
    </row>
    <row r="491" spans="1:17">
      <c r="A491" t="s">
        <v>1021</v>
      </c>
      <c r="B491" t="s">
        <v>965</v>
      </c>
      <c r="C491">
        <v>0</v>
      </c>
      <c r="E491" t="s">
        <v>1023</v>
      </c>
      <c r="F491" t="s">
        <v>1042</v>
      </c>
      <c r="G491" t="s">
        <v>961</v>
      </c>
      <c r="H491">
        <v>0.66500000000000004</v>
      </c>
      <c r="K491">
        <v>107449158</v>
      </c>
      <c r="L491" s="2">
        <v>45175</v>
      </c>
      <c r="M491">
        <v>21</v>
      </c>
      <c r="N491">
        <v>1</v>
      </c>
      <c r="O491">
        <v>7</v>
      </c>
      <c r="P491">
        <v>1</v>
      </c>
      <c r="Q491" t="s">
        <v>7</v>
      </c>
    </row>
    <row r="492" spans="1:17">
      <c r="A492" t="s">
        <v>1021</v>
      </c>
      <c r="B492" t="s">
        <v>965</v>
      </c>
      <c r="C492">
        <v>0</v>
      </c>
      <c r="E492" t="s">
        <v>1023</v>
      </c>
      <c r="F492" t="s">
        <v>1042</v>
      </c>
      <c r="G492" t="s">
        <v>961</v>
      </c>
      <c r="H492">
        <v>0.66500000000000004</v>
      </c>
      <c r="K492">
        <v>107694687</v>
      </c>
      <c r="L492" s="2">
        <v>45401</v>
      </c>
      <c r="M492">
        <v>23</v>
      </c>
      <c r="N492">
        <v>2</v>
      </c>
      <c r="O492">
        <v>7</v>
      </c>
      <c r="P492">
        <v>1</v>
      </c>
      <c r="Q492" t="s">
        <v>7</v>
      </c>
    </row>
    <row r="493" spans="1:17">
      <c r="A493" t="s">
        <v>1021</v>
      </c>
      <c r="B493" t="s">
        <v>965</v>
      </c>
      <c r="C493">
        <v>0</v>
      </c>
      <c r="E493" t="s">
        <v>1023</v>
      </c>
      <c r="F493" t="s">
        <v>1042</v>
      </c>
      <c r="G493" t="s">
        <v>961</v>
      </c>
      <c r="H493">
        <v>0.66500000000000004</v>
      </c>
      <c r="K493">
        <v>107116744</v>
      </c>
      <c r="L493" s="2">
        <v>44852</v>
      </c>
      <c r="M493">
        <v>30</v>
      </c>
      <c r="N493">
        <v>1</v>
      </c>
      <c r="O493">
        <v>7</v>
      </c>
      <c r="P493">
        <v>1</v>
      </c>
      <c r="Q493" t="s">
        <v>7</v>
      </c>
    </row>
    <row r="494" spans="1:17">
      <c r="A494" t="s">
        <v>1021</v>
      </c>
      <c r="B494" t="s">
        <v>965</v>
      </c>
      <c r="C494">
        <v>0</v>
      </c>
      <c r="E494" t="s">
        <v>1023</v>
      </c>
      <c r="F494" t="s">
        <v>1020</v>
      </c>
      <c r="G494" t="s">
        <v>961</v>
      </c>
      <c r="H494">
        <v>0.66500000000000004</v>
      </c>
      <c r="K494">
        <v>106456200</v>
      </c>
      <c r="L494" s="2">
        <v>44176</v>
      </c>
      <c r="M494">
        <v>2</v>
      </c>
      <c r="N494">
        <v>1</v>
      </c>
      <c r="O494">
        <v>7</v>
      </c>
      <c r="P494">
        <v>1</v>
      </c>
      <c r="Q494" t="s">
        <v>3</v>
      </c>
    </row>
    <row r="495" spans="1:17">
      <c r="A495" t="s">
        <v>1021</v>
      </c>
      <c r="B495" t="s">
        <v>965</v>
      </c>
      <c r="C495">
        <v>0</v>
      </c>
      <c r="E495" t="s">
        <v>1023</v>
      </c>
      <c r="F495" t="s">
        <v>1020</v>
      </c>
      <c r="G495" t="s">
        <v>961</v>
      </c>
      <c r="H495">
        <v>0.66500000000000004</v>
      </c>
      <c r="K495">
        <v>107779343</v>
      </c>
      <c r="L495" s="2">
        <v>45483</v>
      </c>
      <c r="M495">
        <v>21</v>
      </c>
      <c r="N495">
        <v>1</v>
      </c>
      <c r="O495">
        <v>7</v>
      </c>
      <c r="P495">
        <v>4</v>
      </c>
      <c r="Q495" t="s">
        <v>7</v>
      </c>
    </row>
    <row r="496" spans="1:17">
      <c r="A496" t="s">
        <v>754</v>
      </c>
      <c r="B496" t="s">
        <v>965</v>
      </c>
      <c r="C496">
        <v>0</v>
      </c>
      <c r="E496" t="s">
        <v>1023</v>
      </c>
      <c r="F496" t="s">
        <v>1020</v>
      </c>
      <c r="G496" t="s">
        <v>961</v>
      </c>
      <c r="H496">
        <v>0.66500000000000004</v>
      </c>
      <c r="K496">
        <v>106406717</v>
      </c>
      <c r="L496" s="2">
        <v>44124</v>
      </c>
      <c r="M496">
        <v>21</v>
      </c>
      <c r="N496">
        <v>1</v>
      </c>
      <c r="O496">
        <v>7</v>
      </c>
      <c r="P496">
        <v>1</v>
      </c>
      <c r="Q496" t="s">
        <v>7</v>
      </c>
    </row>
    <row r="497" spans="1:17">
      <c r="A497" t="s">
        <v>1021</v>
      </c>
      <c r="B497" t="s">
        <v>965</v>
      </c>
      <c r="C497">
        <v>0</v>
      </c>
      <c r="E497" t="s">
        <v>1023</v>
      </c>
      <c r="F497" t="s">
        <v>1020</v>
      </c>
      <c r="G497" t="s">
        <v>961</v>
      </c>
      <c r="H497">
        <v>0.66500000000000004</v>
      </c>
      <c r="K497">
        <v>107621369</v>
      </c>
      <c r="L497" s="2">
        <v>45327</v>
      </c>
      <c r="M497">
        <v>24</v>
      </c>
      <c r="N497">
        <v>1</v>
      </c>
      <c r="O497">
        <v>7</v>
      </c>
      <c r="P497">
        <v>1</v>
      </c>
      <c r="Q497" t="s">
        <v>10</v>
      </c>
    </row>
    <row r="498" spans="1:17">
      <c r="A498" t="s">
        <v>1021</v>
      </c>
      <c r="B498" t="s">
        <v>965</v>
      </c>
      <c r="C498">
        <v>0</v>
      </c>
      <c r="E498" t="s">
        <v>1023</v>
      </c>
      <c r="F498" t="s">
        <v>1020</v>
      </c>
      <c r="G498" t="s">
        <v>961</v>
      </c>
      <c r="H498">
        <v>0.66500000000000004</v>
      </c>
      <c r="K498">
        <v>108595987</v>
      </c>
      <c r="L498" s="2">
        <v>46254</v>
      </c>
      <c r="M498">
        <v>28</v>
      </c>
      <c r="N498">
        <v>1</v>
      </c>
      <c r="O498">
        <v>7</v>
      </c>
      <c r="P498">
        <v>1</v>
      </c>
      <c r="Q498" t="s">
        <v>7</v>
      </c>
    </row>
    <row r="499" spans="1:17">
      <c r="A499" t="s">
        <v>1021</v>
      </c>
      <c r="B499" t="s">
        <v>965</v>
      </c>
      <c r="C499">
        <v>0</v>
      </c>
      <c r="E499" t="s">
        <v>1023</v>
      </c>
      <c r="F499" t="s">
        <v>1020</v>
      </c>
      <c r="G499" t="s">
        <v>961</v>
      </c>
      <c r="H499">
        <v>0.66500000000000004</v>
      </c>
      <c r="K499">
        <v>105824332</v>
      </c>
      <c r="L499" s="2">
        <v>43545</v>
      </c>
      <c r="M499">
        <v>30</v>
      </c>
      <c r="N499">
        <v>2</v>
      </c>
      <c r="O499">
        <v>7</v>
      </c>
      <c r="P499">
        <v>1</v>
      </c>
      <c r="Q499" t="s">
        <v>3</v>
      </c>
    </row>
    <row r="500" spans="1:17">
      <c r="A500" t="s">
        <v>1021</v>
      </c>
      <c r="B500" t="s">
        <v>965</v>
      </c>
      <c r="C500">
        <v>0</v>
      </c>
      <c r="E500" t="s">
        <v>1023</v>
      </c>
      <c r="F500" t="s">
        <v>1020</v>
      </c>
      <c r="G500" t="s">
        <v>961</v>
      </c>
      <c r="H500">
        <v>0.66500000000000004</v>
      </c>
      <c r="K500">
        <v>106502453</v>
      </c>
      <c r="L500" s="2">
        <v>44196</v>
      </c>
      <c r="M500">
        <v>30</v>
      </c>
      <c r="N500">
        <v>2</v>
      </c>
      <c r="O500">
        <v>7</v>
      </c>
      <c r="P500">
        <v>1</v>
      </c>
      <c r="Q500" t="s">
        <v>7</v>
      </c>
    </row>
    <row r="501" spans="1:17">
      <c r="A501" t="s">
        <v>1021</v>
      </c>
      <c r="B501" t="s">
        <v>965</v>
      </c>
      <c r="C501">
        <v>0</v>
      </c>
      <c r="E501" t="s">
        <v>1023</v>
      </c>
      <c r="F501" t="s">
        <v>1020</v>
      </c>
      <c r="G501" t="s">
        <v>961</v>
      </c>
      <c r="H501">
        <v>0.66500000000000004</v>
      </c>
      <c r="K501">
        <v>106802225</v>
      </c>
      <c r="L501" s="2">
        <v>44443</v>
      </c>
      <c r="M501">
        <v>30</v>
      </c>
      <c r="N501">
        <v>1</v>
      </c>
      <c r="O501">
        <v>7</v>
      </c>
      <c r="P501">
        <v>5</v>
      </c>
      <c r="Q501" t="s">
        <v>3</v>
      </c>
    </row>
    <row r="502" spans="1:17">
      <c r="A502" t="s">
        <v>1021</v>
      </c>
      <c r="B502" t="s">
        <v>965</v>
      </c>
      <c r="C502">
        <v>0</v>
      </c>
      <c r="E502" t="s">
        <v>1023</v>
      </c>
      <c r="F502" t="s">
        <v>977</v>
      </c>
      <c r="G502" t="s">
        <v>961</v>
      </c>
      <c r="H502">
        <v>0.66500000000000004</v>
      </c>
      <c r="K502">
        <v>107527142</v>
      </c>
      <c r="L502" s="2">
        <v>45244</v>
      </c>
      <c r="M502">
        <v>21</v>
      </c>
      <c r="N502">
        <v>1</v>
      </c>
      <c r="O502">
        <v>7</v>
      </c>
      <c r="P502">
        <v>4</v>
      </c>
      <c r="Q502" t="s">
        <v>7</v>
      </c>
    </row>
    <row r="503" spans="1:17">
      <c r="A503" t="s">
        <v>1021</v>
      </c>
      <c r="B503" t="s">
        <v>965</v>
      </c>
      <c r="C503">
        <v>0</v>
      </c>
      <c r="E503" t="s">
        <v>1023</v>
      </c>
      <c r="F503" t="s">
        <v>1104</v>
      </c>
      <c r="G503" t="s">
        <v>961</v>
      </c>
      <c r="H503">
        <v>0.66500000000000004</v>
      </c>
      <c r="K503">
        <v>105962995</v>
      </c>
      <c r="L503" s="2">
        <v>43682</v>
      </c>
      <c r="M503">
        <v>21</v>
      </c>
      <c r="N503">
        <v>1</v>
      </c>
      <c r="O503">
        <v>7</v>
      </c>
      <c r="P503">
        <v>1</v>
      </c>
      <c r="Q503" t="s">
        <v>3</v>
      </c>
    </row>
    <row r="504" spans="1:17">
      <c r="A504" t="s">
        <v>1021</v>
      </c>
      <c r="B504" t="s">
        <v>965</v>
      </c>
      <c r="C504">
        <v>0</v>
      </c>
      <c r="E504" t="s">
        <v>1023</v>
      </c>
      <c r="G504" t="s">
        <v>961</v>
      </c>
      <c r="H504">
        <v>0.66500000000000004</v>
      </c>
      <c r="K504">
        <v>108295169</v>
      </c>
      <c r="L504" s="2">
        <v>45967</v>
      </c>
      <c r="M504">
        <v>21</v>
      </c>
      <c r="N504">
        <v>1</v>
      </c>
      <c r="O504">
        <v>7</v>
      </c>
      <c r="P504">
        <v>2</v>
      </c>
      <c r="Q504" t="s">
        <v>7</v>
      </c>
    </row>
    <row r="505" spans="1:17">
      <c r="A505" t="s">
        <v>1021</v>
      </c>
      <c r="B505" t="s">
        <v>965</v>
      </c>
      <c r="C505">
        <v>0</v>
      </c>
      <c r="E505" t="s">
        <v>1023</v>
      </c>
      <c r="G505" t="s">
        <v>961</v>
      </c>
      <c r="H505">
        <v>0.66500000000000004</v>
      </c>
      <c r="K505">
        <v>107580676</v>
      </c>
      <c r="L505" s="2">
        <v>45291</v>
      </c>
      <c r="M505">
        <v>23</v>
      </c>
      <c r="N505">
        <v>1</v>
      </c>
      <c r="O505">
        <v>7</v>
      </c>
      <c r="P505">
        <v>4</v>
      </c>
      <c r="Q505" t="s">
        <v>7</v>
      </c>
    </row>
    <row r="506" spans="1:17">
      <c r="A506" t="s">
        <v>1021</v>
      </c>
      <c r="B506" t="s">
        <v>965</v>
      </c>
      <c r="C506">
        <v>0</v>
      </c>
      <c r="E506" t="s">
        <v>1023</v>
      </c>
      <c r="G506" t="s">
        <v>961</v>
      </c>
      <c r="H506">
        <v>0.66500000000000004</v>
      </c>
      <c r="K506">
        <v>108501760</v>
      </c>
      <c r="L506" s="2">
        <v>46153</v>
      </c>
      <c r="M506">
        <v>24</v>
      </c>
      <c r="N506">
        <v>1</v>
      </c>
      <c r="O506">
        <v>7</v>
      </c>
      <c r="P506">
        <v>3</v>
      </c>
      <c r="Q506" t="s">
        <v>9</v>
      </c>
    </row>
    <row r="507" spans="1:17">
      <c r="A507" t="s">
        <v>1021</v>
      </c>
      <c r="B507" t="s">
        <v>965</v>
      </c>
      <c r="C507">
        <v>0</v>
      </c>
      <c r="E507" t="s">
        <v>1023</v>
      </c>
      <c r="G507" t="s">
        <v>961</v>
      </c>
      <c r="H507">
        <v>0.66500000000000004</v>
      </c>
      <c r="K507">
        <v>107729885</v>
      </c>
      <c r="L507" s="2">
        <v>45426</v>
      </c>
      <c r="M507">
        <v>26</v>
      </c>
      <c r="N507">
        <v>2</v>
      </c>
      <c r="O507">
        <v>7</v>
      </c>
      <c r="P507">
        <v>1</v>
      </c>
      <c r="Q507" t="s">
        <v>7</v>
      </c>
    </row>
    <row r="508" spans="1:17">
      <c r="A508" t="s">
        <v>1021</v>
      </c>
      <c r="B508" t="s">
        <v>965</v>
      </c>
      <c r="C508">
        <v>0</v>
      </c>
      <c r="D508" t="s">
        <v>756</v>
      </c>
      <c r="E508" t="s">
        <v>1023</v>
      </c>
      <c r="G508" t="s">
        <v>961</v>
      </c>
      <c r="H508">
        <v>0.66500000000000004</v>
      </c>
      <c r="K508">
        <v>107049772</v>
      </c>
      <c r="L508" s="2">
        <v>44791</v>
      </c>
      <c r="M508">
        <v>28</v>
      </c>
      <c r="N508">
        <v>1</v>
      </c>
      <c r="O508">
        <v>7</v>
      </c>
      <c r="P508">
        <v>1</v>
      </c>
      <c r="Q508" t="s">
        <v>7</v>
      </c>
    </row>
    <row r="509" spans="1:17">
      <c r="A509" t="s">
        <v>1021</v>
      </c>
      <c r="B509" t="s">
        <v>965</v>
      </c>
      <c r="C509">
        <v>0</v>
      </c>
      <c r="E509" t="s">
        <v>1023</v>
      </c>
      <c r="G509" t="s">
        <v>961</v>
      </c>
      <c r="H509">
        <v>0.66500000000000004</v>
      </c>
      <c r="K509">
        <v>107173227</v>
      </c>
      <c r="L509" s="2">
        <v>44891</v>
      </c>
      <c r="M509">
        <v>30</v>
      </c>
      <c r="N509">
        <v>1</v>
      </c>
      <c r="O509">
        <v>7</v>
      </c>
      <c r="P509">
        <v>1</v>
      </c>
      <c r="Q509" t="s">
        <v>7</v>
      </c>
    </row>
    <row r="510" spans="1:17">
      <c r="A510" t="s">
        <v>1021</v>
      </c>
      <c r="B510" t="s">
        <v>965</v>
      </c>
      <c r="C510">
        <v>0</v>
      </c>
      <c r="E510" t="s">
        <v>1023</v>
      </c>
      <c r="G510" t="s">
        <v>961</v>
      </c>
      <c r="H510">
        <v>0.66500000000000004</v>
      </c>
      <c r="K510">
        <v>108594074</v>
      </c>
      <c r="L510" s="2">
        <v>46252</v>
      </c>
      <c r="M510">
        <v>30</v>
      </c>
      <c r="N510">
        <v>1</v>
      </c>
      <c r="O510">
        <v>7</v>
      </c>
      <c r="P510">
        <v>4</v>
      </c>
      <c r="Q510" t="s">
        <v>3</v>
      </c>
    </row>
    <row r="511" spans="1:17">
      <c r="A511" t="s">
        <v>1021</v>
      </c>
      <c r="B511" t="s">
        <v>965</v>
      </c>
      <c r="C511">
        <v>0</v>
      </c>
      <c r="E511" t="s">
        <v>1037</v>
      </c>
      <c r="F511" t="s">
        <v>1023</v>
      </c>
      <c r="G511" t="s">
        <v>961</v>
      </c>
      <c r="H511">
        <v>0.66500000000000004</v>
      </c>
      <c r="K511">
        <v>107201538</v>
      </c>
      <c r="L511" s="2">
        <v>44910</v>
      </c>
      <c r="M511">
        <v>17</v>
      </c>
      <c r="N511">
        <v>2</v>
      </c>
      <c r="O511">
        <v>7</v>
      </c>
      <c r="P511">
        <v>1</v>
      </c>
      <c r="Q511" t="s">
        <v>7</v>
      </c>
    </row>
    <row r="512" spans="1:17">
      <c r="A512" t="s">
        <v>1021</v>
      </c>
      <c r="B512" t="s">
        <v>965</v>
      </c>
      <c r="C512">
        <v>0</v>
      </c>
      <c r="E512" t="s">
        <v>1037</v>
      </c>
      <c r="F512" t="s">
        <v>1064</v>
      </c>
      <c r="G512" t="s">
        <v>961</v>
      </c>
      <c r="H512">
        <v>0.66500000000000004</v>
      </c>
      <c r="K512">
        <v>106416574</v>
      </c>
      <c r="L512" s="2">
        <v>44148</v>
      </c>
      <c r="M512">
        <v>25</v>
      </c>
      <c r="N512">
        <v>1</v>
      </c>
      <c r="P512">
        <v>1</v>
      </c>
      <c r="Q512" t="s">
        <v>7</v>
      </c>
    </row>
    <row r="513" spans="1:23">
      <c r="A513" t="s">
        <v>1021</v>
      </c>
      <c r="B513" t="s">
        <v>965</v>
      </c>
      <c r="C513">
        <v>2E-3</v>
      </c>
      <c r="D513" t="s">
        <v>756</v>
      </c>
      <c r="E513" t="s">
        <v>1023</v>
      </c>
      <c r="F513" t="s">
        <v>967</v>
      </c>
      <c r="G513" t="s">
        <v>961</v>
      </c>
      <c r="H513">
        <v>0.66700000000000004</v>
      </c>
      <c r="J513" t="s">
        <v>1208</v>
      </c>
      <c r="K513">
        <v>106064301</v>
      </c>
      <c r="L513" s="2">
        <v>43751</v>
      </c>
      <c r="M513">
        <v>21</v>
      </c>
      <c r="N513">
        <v>2</v>
      </c>
      <c r="O513">
        <v>0</v>
      </c>
      <c r="P513">
        <v>1</v>
      </c>
      <c r="Q513" t="s">
        <v>7</v>
      </c>
      <c r="W513" t="s">
        <v>1350</v>
      </c>
    </row>
    <row r="514" spans="1:23">
      <c r="A514" t="s">
        <v>1021</v>
      </c>
      <c r="B514" t="s">
        <v>965</v>
      </c>
      <c r="C514">
        <v>2E-3</v>
      </c>
      <c r="D514" t="s">
        <v>756</v>
      </c>
      <c r="E514" t="s">
        <v>1023</v>
      </c>
      <c r="F514" t="s">
        <v>1039</v>
      </c>
      <c r="G514" t="s">
        <v>961</v>
      </c>
      <c r="H514">
        <v>0.66700000000000004</v>
      </c>
      <c r="K514">
        <v>106806043</v>
      </c>
      <c r="L514" s="2">
        <v>44547</v>
      </c>
      <c r="M514">
        <v>21</v>
      </c>
      <c r="N514">
        <v>1</v>
      </c>
      <c r="O514">
        <v>7</v>
      </c>
      <c r="P514">
        <v>4</v>
      </c>
      <c r="Q514" t="s">
        <v>3</v>
      </c>
    </row>
    <row r="515" spans="1:23">
      <c r="A515" t="s">
        <v>1021</v>
      </c>
      <c r="B515" t="s">
        <v>965</v>
      </c>
      <c r="C515">
        <v>2E-3</v>
      </c>
      <c r="D515" t="s">
        <v>756</v>
      </c>
      <c r="E515" t="s">
        <v>1023</v>
      </c>
      <c r="F515" t="s">
        <v>1039</v>
      </c>
      <c r="G515" t="s">
        <v>961</v>
      </c>
      <c r="H515">
        <v>0.66700000000000004</v>
      </c>
      <c r="K515">
        <v>106802149</v>
      </c>
      <c r="L515" s="2">
        <v>44396</v>
      </c>
      <c r="M515">
        <v>30</v>
      </c>
      <c r="N515">
        <v>1</v>
      </c>
      <c r="O515">
        <v>0</v>
      </c>
      <c r="P515">
        <v>4</v>
      </c>
      <c r="Q515" t="s">
        <v>7</v>
      </c>
    </row>
    <row r="516" spans="1:23">
      <c r="A516" t="s">
        <v>1021</v>
      </c>
      <c r="B516" t="s">
        <v>965</v>
      </c>
      <c r="C516">
        <v>3.0000000000000001E-3</v>
      </c>
      <c r="D516" t="s">
        <v>756</v>
      </c>
      <c r="E516" t="s">
        <v>1023</v>
      </c>
      <c r="F516" t="s">
        <v>1039</v>
      </c>
      <c r="G516" t="s">
        <v>961</v>
      </c>
      <c r="H516">
        <v>0.66800000000000004</v>
      </c>
      <c r="K516">
        <v>105792569</v>
      </c>
      <c r="L516" s="2">
        <v>43521</v>
      </c>
      <c r="M516">
        <v>19</v>
      </c>
      <c r="N516">
        <v>1</v>
      </c>
      <c r="O516">
        <v>7</v>
      </c>
      <c r="P516">
        <v>1</v>
      </c>
      <c r="Q516" t="s">
        <v>7</v>
      </c>
    </row>
    <row r="517" spans="1:23">
      <c r="A517" t="s">
        <v>1021</v>
      </c>
      <c r="B517" t="s">
        <v>965</v>
      </c>
      <c r="C517">
        <v>2.3E-2</v>
      </c>
      <c r="D517" t="s">
        <v>756</v>
      </c>
      <c r="E517" t="s">
        <v>1023</v>
      </c>
      <c r="F517" t="s">
        <v>1148</v>
      </c>
      <c r="G517" t="s">
        <v>961</v>
      </c>
      <c r="H517">
        <v>0.68799999999999994</v>
      </c>
      <c r="K517">
        <v>107203019</v>
      </c>
      <c r="L517" s="2">
        <v>44929</v>
      </c>
      <c r="M517">
        <v>28</v>
      </c>
      <c r="N517">
        <v>2</v>
      </c>
      <c r="O517">
        <v>0</v>
      </c>
      <c r="P517">
        <v>4</v>
      </c>
      <c r="Q517" t="s">
        <v>7</v>
      </c>
    </row>
    <row r="518" spans="1:23">
      <c r="A518" t="s">
        <v>1021</v>
      </c>
      <c r="B518" t="s">
        <v>965</v>
      </c>
      <c r="C518">
        <v>2.3E-2</v>
      </c>
      <c r="E518" t="s">
        <v>1023</v>
      </c>
      <c r="F518" t="s">
        <v>1064</v>
      </c>
      <c r="G518" t="s">
        <v>961</v>
      </c>
      <c r="H518">
        <v>0.68799999999999994</v>
      </c>
      <c r="I518" t="s">
        <v>61</v>
      </c>
      <c r="K518">
        <v>105214574</v>
      </c>
      <c r="L518" s="2">
        <v>42970</v>
      </c>
      <c r="M518">
        <v>28</v>
      </c>
      <c r="N518">
        <v>1</v>
      </c>
      <c r="O518">
        <v>0</v>
      </c>
      <c r="P518">
        <v>2</v>
      </c>
      <c r="Q518" t="s">
        <v>7</v>
      </c>
    </row>
    <row r="519" spans="1:23">
      <c r="A519" t="s">
        <v>1021</v>
      </c>
      <c r="B519" t="s">
        <v>965</v>
      </c>
      <c r="C519">
        <v>2.8000000000000001E-2</v>
      </c>
      <c r="D519" t="s">
        <v>756</v>
      </c>
      <c r="E519" t="s">
        <v>1023</v>
      </c>
      <c r="F519" t="s">
        <v>1039</v>
      </c>
      <c r="G519" t="s">
        <v>961</v>
      </c>
      <c r="H519">
        <v>0.69299999999999995</v>
      </c>
      <c r="K519">
        <v>107927943</v>
      </c>
      <c r="L519" s="2">
        <v>45616</v>
      </c>
      <c r="M519">
        <v>21</v>
      </c>
      <c r="N519">
        <v>2</v>
      </c>
      <c r="O519">
        <v>7</v>
      </c>
      <c r="P519">
        <v>1</v>
      </c>
      <c r="Q519" t="s">
        <v>7</v>
      </c>
    </row>
    <row r="520" spans="1:23">
      <c r="A520" t="s">
        <v>1021</v>
      </c>
      <c r="B520" t="s">
        <v>965</v>
      </c>
      <c r="C520">
        <v>6.8000000000000005E-2</v>
      </c>
      <c r="D520" t="s">
        <v>756</v>
      </c>
      <c r="E520" t="s">
        <v>1037</v>
      </c>
      <c r="F520" t="s">
        <v>1023</v>
      </c>
      <c r="G520" t="s">
        <v>961</v>
      </c>
      <c r="H520">
        <v>0.73299999999999998</v>
      </c>
      <c r="K520">
        <v>108572505</v>
      </c>
      <c r="L520" s="2">
        <v>46231</v>
      </c>
      <c r="M520">
        <v>28</v>
      </c>
      <c r="N520">
        <v>1</v>
      </c>
      <c r="O520">
        <v>0</v>
      </c>
      <c r="P520">
        <v>1</v>
      </c>
      <c r="Q520" t="s">
        <v>3</v>
      </c>
    </row>
    <row r="521" spans="1:23">
      <c r="A521" t="s">
        <v>1021</v>
      </c>
      <c r="B521" t="s">
        <v>965</v>
      </c>
      <c r="C521">
        <v>0.4</v>
      </c>
      <c r="D521" t="s">
        <v>756</v>
      </c>
      <c r="E521" t="s">
        <v>1020</v>
      </c>
      <c r="F521" t="s">
        <v>1039</v>
      </c>
      <c r="G521" t="s">
        <v>961</v>
      </c>
      <c r="H521">
        <v>0.74</v>
      </c>
      <c r="K521">
        <v>105311932</v>
      </c>
      <c r="L521" s="2">
        <v>43059</v>
      </c>
      <c r="M521">
        <v>30</v>
      </c>
      <c r="N521">
        <v>1</v>
      </c>
      <c r="O521">
        <v>7</v>
      </c>
      <c r="P521">
        <v>1</v>
      </c>
      <c r="Q521" t="s">
        <v>7</v>
      </c>
    </row>
    <row r="522" spans="1:23">
      <c r="A522" t="s">
        <v>1021</v>
      </c>
      <c r="B522" t="s">
        <v>965</v>
      </c>
      <c r="C522">
        <v>7.5999999999999998E-2</v>
      </c>
      <c r="D522" t="s">
        <v>756</v>
      </c>
      <c r="E522" t="s">
        <v>1023</v>
      </c>
      <c r="F522" t="s">
        <v>1039</v>
      </c>
      <c r="G522" t="s">
        <v>961</v>
      </c>
      <c r="H522">
        <v>0.74099999999999999</v>
      </c>
      <c r="K522">
        <v>106802280</v>
      </c>
      <c r="L522" s="2">
        <v>44478</v>
      </c>
      <c r="M522">
        <v>28</v>
      </c>
      <c r="N522">
        <v>1</v>
      </c>
      <c r="O522">
        <v>0</v>
      </c>
      <c r="P522">
        <v>1</v>
      </c>
      <c r="Q522" t="s">
        <v>7</v>
      </c>
    </row>
    <row r="523" spans="1:23">
      <c r="A523" t="s">
        <v>1021</v>
      </c>
      <c r="B523" t="s">
        <v>965</v>
      </c>
      <c r="C523">
        <v>8.5000000000000006E-2</v>
      </c>
      <c r="D523" t="s">
        <v>758</v>
      </c>
      <c r="E523" t="s">
        <v>1039</v>
      </c>
      <c r="F523" t="s">
        <v>1023</v>
      </c>
      <c r="G523" t="s">
        <v>961</v>
      </c>
      <c r="H523">
        <v>0.754</v>
      </c>
      <c r="K523">
        <v>107252249</v>
      </c>
      <c r="L523" s="2">
        <v>44979</v>
      </c>
      <c r="M523">
        <v>30</v>
      </c>
      <c r="N523">
        <v>1</v>
      </c>
      <c r="O523">
        <v>7</v>
      </c>
      <c r="P523">
        <v>1</v>
      </c>
      <c r="Q523" t="s">
        <v>3</v>
      </c>
    </row>
    <row r="524" spans="1:23">
      <c r="A524" t="s">
        <v>1021</v>
      </c>
      <c r="B524" t="s">
        <v>965</v>
      </c>
      <c r="C524">
        <v>0.1</v>
      </c>
      <c r="D524" t="s">
        <v>756</v>
      </c>
      <c r="E524" t="s">
        <v>1023</v>
      </c>
      <c r="F524" t="s">
        <v>1056</v>
      </c>
      <c r="G524" t="s">
        <v>961</v>
      </c>
      <c r="H524">
        <v>0.76500000000000001</v>
      </c>
      <c r="K524">
        <v>105752238</v>
      </c>
      <c r="L524" s="2">
        <v>43478</v>
      </c>
      <c r="M524">
        <v>17</v>
      </c>
      <c r="N524">
        <v>2</v>
      </c>
      <c r="O524">
        <v>0</v>
      </c>
      <c r="P524">
        <v>5</v>
      </c>
      <c r="Q524" t="s">
        <v>7</v>
      </c>
    </row>
    <row r="525" spans="1:23">
      <c r="A525" t="s">
        <v>1021</v>
      </c>
      <c r="B525" t="s">
        <v>965</v>
      </c>
      <c r="C525">
        <v>7.0000000000000007E-2</v>
      </c>
      <c r="D525" t="s">
        <v>758</v>
      </c>
      <c r="E525" t="s">
        <v>1039</v>
      </c>
      <c r="F525" t="s">
        <v>1023</v>
      </c>
      <c r="G525" t="s">
        <v>961</v>
      </c>
      <c r="H525">
        <v>0.76900000000000002</v>
      </c>
      <c r="K525">
        <v>108472389</v>
      </c>
      <c r="L525" s="2">
        <v>46132</v>
      </c>
      <c r="M525">
        <v>28</v>
      </c>
      <c r="N525">
        <v>1</v>
      </c>
      <c r="O525">
        <v>8</v>
      </c>
      <c r="P525">
        <v>1</v>
      </c>
      <c r="Q525" t="s">
        <v>7</v>
      </c>
    </row>
    <row r="526" spans="1:23">
      <c r="A526" t="s">
        <v>1021</v>
      </c>
      <c r="B526" t="s">
        <v>965</v>
      </c>
      <c r="C526">
        <v>8.9999999999999993E-3</v>
      </c>
      <c r="D526" t="s">
        <v>758</v>
      </c>
      <c r="E526" t="s">
        <v>1039</v>
      </c>
      <c r="F526" t="s">
        <v>1023</v>
      </c>
      <c r="G526" t="s">
        <v>961</v>
      </c>
      <c r="H526">
        <v>0.83</v>
      </c>
      <c r="K526">
        <v>105536803</v>
      </c>
      <c r="L526" s="2">
        <v>43280</v>
      </c>
      <c r="M526">
        <v>21</v>
      </c>
      <c r="N526">
        <v>1</v>
      </c>
      <c r="O526">
        <v>8</v>
      </c>
      <c r="P526">
        <v>4</v>
      </c>
      <c r="Q526" t="s">
        <v>7</v>
      </c>
    </row>
    <row r="527" spans="1:23">
      <c r="A527" t="s">
        <v>1021</v>
      </c>
      <c r="B527" t="s">
        <v>965</v>
      </c>
      <c r="C527">
        <v>0</v>
      </c>
      <c r="E527" t="s">
        <v>1039</v>
      </c>
      <c r="F527" t="s">
        <v>1023</v>
      </c>
      <c r="G527" t="s">
        <v>961</v>
      </c>
      <c r="H527">
        <v>0.83899999999999997</v>
      </c>
      <c r="K527">
        <v>107392896</v>
      </c>
      <c r="L527" s="2">
        <v>45118</v>
      </c>
      <c r="M527">
        <v>23</v>
      </c>
      <c r="N527">
        <v>1</v>
      </c>
      <c r="O527">
        <v>7</v>
      </c>
      <c r="P527">
        <v>1</v>
      </c>
      <c r="Q527" t="s">
        <v>8</v>
      </c>
    </row>
    <row r="528" spans="1:23">
      <c r="A528" t="s">
        <v>1021</v>
      </c>
      <c r="B528" t="s">
        <v>965</v>
      </c>
      <c r="C528">
        <v>0</v>
      </c>
      <c r="E528" t="s">
        <v>1039</v>
      </c>
      <c r="F528" t="s">
        <v>1038</v>
      </c>
      <c r="G528" t="s">
        <v>961</v>
      </c>
      <c r="H528">
        <v>0.83899999999999997</v>
      </c>
      <c r="K528">
        <v>107440850</v>
      </c>
      <c r="L528" s="2">
        <v>45167</v>
      </c>
      <c r="M528">
        <v>26</v>
      </c>
      <c r="N528">
        <v>1</v>
      </c>
      <c r="O528">
        <v>0</v>
      </c>
      <c r="P528">
        <v>1</v>
      </c>
      <c r="Q528" t="s">
        <v>7</v>
      </c>
    </row>
    <row r="529" spans="1:17">
      <c r="A529" t="s">
        <v>1021</v>
      </c>
      <c r="B529" t="s">
        <v>965</v>
      </c>
      <c r="C529">
        <v>0</v>
      </c>
      <c r="D529" t="s">
        <v>756</v>
      </c>
      <c r="E529" t="s">
        <v>1039</v>
      </c>
      <c r="F529" t="s">
        <v>1064</v>
      </c>
      <c r="G529" t="s">
        <v>961</v>
      </c>
      <c r="H529">
        <v>0.83899999999999997</v>
      </c>
      <c r="K529">
        <v>105311935</v>
      </c>
      <c r="L529" s="2">
        <v>43058</v>
      </c>
      <c r="M529">
        <v>19</v>
      </c>
      <c r="N529">
        <v>2</v>
      </c>
      <c r="O529">
        <v>0</v>
      </c>
      <c r="P529">
        <v>1</v>
      </c>
      <c r="Q529" t="s">
        <v>7</v>
      </c>
    </row>
    <row r="530" spans="1:17">
      <c r="A530" t="s">
        <v>1021</v>
      </c>
      <c r="B530" t="s">
        <v>965</v>
      </c>
      <c r="C530">
        <v>0</v>
      </c>
      <c r="D530" t="s">
        <v>756</v>
      </c>
      <c r="E530" t="s">
        <v>1039</v>
      </c>
      <c r="F530" t="s">
        <v>1056</v>
      </c>
      <c r="G530" t="s">
        <v>961</v>
      </c>
      <c r="H530">
        <v>0.83899999999999997</v>
      </c>
      <c r="K530">
        <v>105558073</v>
      </c>
      <c r="L530" s="2">
        <v>43309</v>
      </c>
      <c r="M530">
        <v>17</v>
      </c>
      <c r="N530">
        <v>1</v>
      </c>
      <c r="O530">
        <v>0</v>
      </c>
      <c r="P530">
        <v>1</v>
      </c>
      <c r="Q530" t="s">
        <v>7</v>
      </c>
    </row>
    <row r="531" spans="1:17">
      <c r="A531" t="s">
        <v>1021</v>
      </c>
      <c r="B531" t="s">
        <v>965</v>
      </c>
      <c r="C531">
        <v>0</v>
      </c>
      <c r="E531" t="s">
        <v>1039</v>
      </c>
      <c r="F531" t="s">
        <v>1056</v>
      </c>
      <c r="G531" t="s">
        <v>961</v>
      </c>
      <c r="H531">
        <v>0.83899999999999997</v>
      </c>
      <c r="K531">
        <v>105864809</v>
      </c>
      <c r="L531" s="2">
        <v>43570</v>
      </c>
      <c r="M531">
        <v>30</v>
      </c>
      <c r="N531">
        <v>1</v>
      </c>
      <c r="O531">
        <v>8</v>
      </c>
      <c r="P531">
        <v>1</v>
      </c>
      <c r="Q531" t="s">
        <v>3</v>
      </c>
    </row>
    <row r="532" spans="1:17">
      <c r="A532" t="s">
        <v>1021</v>
      </c>
      <c r="B532" t="s">
        <v>965</v>
      </c>
      <c r="C532">
        <v>0</v>
      </c>
      <c r="E532" t="s">
        <v>1039</v>
      </c>
      <c r="F532" t="s">
        <v>1037</v>
      </c>
      <c r="G532" t="s">
        <v>961</v>
      </c>
      <c r="H532">
        <v>0.83899999999999997</v>
      </c>
      <c r="K532">
        <v>108515575</v>
      </c>
      <c r="L532" s="2">
        <v>46165</v>
      </c>
      <c r="M532">
        <v>30</v>
      </c>
      <c r="N532">
        <v>1</v>
      </c>
      <c r="O532">
        <v>8</v>
      </c>
      <c r="P532">
        <v>1</v>
      </c>
      <c r="Q532" t="s">
        <v>8</v>
      </c>
    </row>
    <row r="533" spans="1:17">
      <c r="A533" t="s">
        <v>1021</v>
      </c>
      <c r="B533" t="s">
        <v>965</v>
      </c>
      <c r="C533">
        <v>0.03</v>
      </c>
      <c r="D533" t="s">
        <v>756</v>
      </c>
      <c r="E533" t="s">
        <v>1039</v>
      </c>
      <c r="F533" t="s">
        <v>1056</v>
      </c>
      <c r="G533" t="s">
        <v>961</v>
      </c>
      <c r="H533">
        <v>0.86899999999999999</v>
      </c>
      <c r="K533">
        <v>106802183</v>
      </c>
      <c r="L533" s="2">
        <v>44414</v>
      </c>
      <c r="M533">
        <v>1</v>
      </c>
      <c r="N533">
        <v>1</v>
      </c>
      <c r="O533">
        <v>0</v>
      </c>
      <c r="P533">
        <v>5</v>
      </c>
      <c r="Q533" t="s">
        <v>8</v>
      </c>
    </row>
    <row r="534" spans="1:17">
      <c r="A534" t="s">
        <v>1021</v>
      </c>
      <c r="B534" t="s">
        <v>965</v>
      </c>
      <c r="C534">
        <v>3.7999999999999999E-2</v>
      </c>
      <c r="D534" t="s">
        <v>756</v>
      </c>
      <c r="E534" t="s">
        <v>1039</v>
      </c>
      <c r="F534" t="s">
        <v>1038</v>
      </c>
      <c r="G534" t="s">
        <v>961</v>
      </c>
      <c r="H534">
        <v>0.877</v>
      </c>
      <c r="K534">
        <v>108044942</v>
      </c>
      <c r="L534" s="2">
        <v>45727</v>
      </c>
      <c r="M534">
        <v>21</v>
      </c>
      <c r="N534">
        <v>1</v>
      </c>
      <c r="O534">
        <v>0</v>
      </c>
      <c r="P534">
        <v>1</v>
      </c>
      <c r="Q534" t="s">
        <v>7</v>
      </c>
    </row>
    <row r="535" spans="1:17">
      <c r="A535" t="s">
        <v>1021</v>
      </c>
      <c r="B535" t="s">
        <v>965</v>
      </c>
      <c r="C535">
        <v>5.7000000000000002E-2</v>
      </c>
      <c r="D535" t="s">
        <v>756</v>
      </c>
      <c r="E535" t="s">
        <v>1039</v>
      </c>
      <c r="F535" t="s">
        <v>1056</v>
      </c>
      <c r="G535" t="s">
        <v>961</v>
      </c>
      <c r="H535">
        <v>0.89600000000000002</v>
      </c>
      <c r="K535">
        <v>107518891</v>
      </c>
      <c r="L535" s="2">
        <v>45237</v>
      </c>
      <c r="M535">
        <v>17</v>
      </c>
      <c r="N535">
        <v>1</v>
      </c>
      <c r="O535">
        <v>0</v>
      </c>
      <c r="P535">
        <v>5</v>
      </c>
      <c r="Q535" t="s">
        <v>7</v>
      </c>
    </row>
    <row r="536" spans="1:17">
      <c r="A536" t="s">
        <v>1021</v>
      </c>
      <c r="B536" t="s">
        <v>965</v>
      </c>
      <c r="C536">
        <v>0.14599999999999999</v>
      </c>
      <c r="D536" t="s">
        <v>762</v>
      </c>
      <c r="E536" t="s">
        <v>1039</v>
      </c>
      <c r="F536" t="s">
        <v>1038</v>
      </c>
      <c r="G536" t="s">
        <v>961</v>
      </c>
      <c r="H536">
        <v>0.98499999999999999</v>
      </c>
      <c r="K536">
        <v>108332228</v>
      </c>
      <c r="L536" s="2">
        <v>46000</v>
      </c>
      <c r="M536">
        <v>21</v>
      </c>
      <c r="N536">
        <v>1</v>
      </c>
      <c r="O536">
        <v>0</v>
      </c>
      <c r="P536">
        <v>1</v>
      </c>
      <c r="Q536" t="s">
        <v>7</v>
      </c>
    </row>
    <row r="537" spans="1:17">
      <c r="A537" t="s">
        <v>1021</v>
      </c>
      <c r="B537" t="s">
        <v>965</v>
      </c>
      <c r="C537">
        <v>0.2</v>
      </c>
      <c r="D537" t="s">
        <v>756</v>
      </c>
      <c r="E537" t="s">
        <v>1039</v>
      </c>
      <c r="F537" t="s">
        <v>1094</v>
      </c>
      <c r="G537" t="s">
        <v>961</v>
      </c>
      <c r="H537">
        <v>1.0389999999999999</v>
      </c>
      <c r="K537">
        <v>105589786</v>
      </c>
      <c r="L537" s="2">
        <v>43329</v>
      </c>
      <c r="M537">
        <v>17</v>
      </c>
      <c r="N537">
        <v>1</v>
      </c>
      <c r="O537">
        <v>0</v>
      </c>
      <c r="P537">
        <v>1</v>
      </c>
      <c r="Q537" t="s">
        <v>7</v>
      </c>
    </row>
    <row r="538" spans="1:17">
      <c r="A538" t="s">
        <v>1021</v>
      </c>
      <c r="B538" t="s">
        <v>965</v>
      </c>
      <c r="C538">
        <v>0.2</v>
      </c>
      <c r="D538" t="s">
        <v>758</v>
      </c>
      <c r="E538" t="s">
        <v>1056</v>
      </c>
      <c r="F538" t="s">
        <v>1023</v>
      </c>
      <c r="G538" t="s">
        <v>961</v>
      </c>
      <c r="H538">
        <v>1.077</v>
      </c>
      <c r="K538">
        <v>107063379</v>
      </c>
      <c r="L538" s="2">
        <v>44803</v>
      </c>
      <c r="M538">
        <v>17</v>
      </c>
      <c r="N538">
        <v>1</v>
      </c>
      <c r="O538">
        <v>0</v>
      </c>
      <c r="P538">
        <v>1</v>
      </c>
      <c r="Q538" t="s">
        <v>7</v>
      </c>
    </row>
    <row r="539" spans="1:17">
      <c r="A539" t="s">
        <v>1021</v>
      </c>
      <c r="B539" t="s">
        <v>965</v>
      </c>
      <c r="C539">
        <v>0.2</v>
      </c>
      <c r="D539" t="s">
        <v>758</v>
      </c>
      <c r="E539" t="s">
        <v>1056</v>
      </c>
      <c r="F539" t="s">
        <v>1023</v>
      </c>
      <c r="G539" t="s">
        <v>961</v>
      </c>
      <c r="H539">
        <v>1.077</v>
      </c>
      <c r="K539">
        <v>107173186</v>
      </c>
      <c r="L539" s="2">
        <v>44763</v>
      </c>
      <c r="M539">
        <v>21</v>
      </c>
      <c r="N539">
        <v>1</v>
      </c>
      <c r="O539">
        <v>12</v>
      </c>
      <c r="P539">
        <v>1</v>
      </c>
      <c r="Q539" t="s">
        <v>3</v>
      </c>
    </row>
    <row r="540" spans="1:17">
      <c r="A540" t="s">
        <v>1021</v>
      </c>
      <c r="B540" t="s">
        <v>965</v>
      </c>
      <c r="C540">
        <v>0.1</v>
      </c>
      <c r="D540" t="s">
        <v>758</v>
      </c>
      <c r="E540" t="s">
        <v>1056</v>
      </c>
      <c r="F540" t="s">
        <v>1101</v>
      </c>
      <c r="G540" t="s">
        <v>961</v>
      </c>
      <c r="H540">
        <v>1.177</v>
      </c>
      <c r="K540">
        <v>105733632</v>
      </c>
      <c r="L540" s="2">
        <v>43442</v>
      </c>
      <c r="M540">
        <v>17</v>
      </c>
      <c r="N540">
        <v>2</v>
      </c>
      <c r="O540">
        <v>0</v>
      </c>
      <c r="P540">
        <v>5</v>
      </c>
      <c r="Q540" t="s">
        <v>7</v>
      </c>
    </row>
    <row r="541" spans="1:17">
      <c r="A541" t="s">
        <v>1021</v>
      </c>
      <c r="B541" t="s">
        <v>965</v>
      </c>
      <c r="C541">
        <v>0.1</v>
      </c>
      <c r="D541" t="s">
        <v>758</v>
      </c>
      <c r="E541" t="s">
        <v>1056</v>
      </c>
      <c r="F541" t="s">
        <v>1023</v>
      </c>
      <c r="G541" t="s">
        <v>961</v>
      </c>
      <c r="H541">
        <v>1.177</v>
      </c>
      <c r="K541">
        <v>105233220</v>
      </c>
      <c r="L541" s="2">
        <v>42984</v>
      </c>
      <c r="M541">
        <v>25</v>
      </c>
      <c r="N541">
        <v>1</v>
      </c>
      <c r="O541">
        <v>0</v>
      </c>
      <c r="P541">
        <v>1</v>
      </c>
      <c r="Q541" t="s">
        <v>7</v>
      </c>
    </row>
    <row r="542" spans="1:17">
      <c r="A542" t="s">
        <v>1021</v>
      </c>
      <c r="B542" t="s">
        <v>965</v>
      </c>
      <c r="C542">
        <v>0.1</v>
      </c>
      <c r="D542" t="s">
        <v>758</v>
      </c>
      <c r="E542" t="s">
        <v>1056</v>
      </c>
      <c r="F542" t="s">
        <v>1039</v>
      </c>
      <c r="G542" t="s">
        <v>961</v>
      </c>
      <c r="H542">
        <v>1.177</v>
      </c>
      <c r="K542">
        <v>105950191</v>
      </c>
      <c r="L542" s="2">
        <v>43671</v>
      </c>
      <c r="M542">
        <v>17</v>
      </c>
      <c r="N542">
        <v>1</v>
      </c>
      <c r="O542">
        <v>0</v>
      </c>
      <c r="P542">
        <v>1</v>
      </c>
      <c r="Q542" t="s">
        <v>7</v>
      </c>
    </row>
    <row r="543" spans="1:17">
      <c r="A543" t="s">
        <v>1021</v>
      </c>
      <c r="B543" t="s">
        <v>965</v>
      </c>
      <c r="C543">
        <v>8.5000000000000006E-2</v>
      </c>
      <c r="D543" t="s">
        <v>758</v>
      </c>
      <c r="E543" t="s">
        <v>1056</v>
      </c>
      <c r="F543" t="s">
        <v>1039</v>
      </c>
      <c r="G543" t="s">
        <v>961</v>
      </c>
      <c r="H543">
        <v>1.1919999999999999</v>
      </c>
      <c r="K543">
        <v>108266389</v>
      </c>
      <c r="L543" s="2">
        <v>45946</v>
      </c>
      <c r="M543">
        <v>21</v>
      </c>
      <c r="N543">
        <v>1</v>
      </c>
      <c r="O543">
        <v>0</v>
      </c>
      <c r="P543">
        <v>1</v>
      </c>
      <c r="Q543" t="s">
        <v>7</v>
      </c>
    </row>
    <row r="544" spans="1:17">
      <c r="A544" t="s">
        <v>1021</v>
      </c>
      <c r="B544" t="s">
        <v>965</v>
      </c>
      <c r="C544">
        <v>5.7000000000000002E-2</v>
      </c>
      <c r="D544" t="s">
        <v>765</v>
      </c>
      <c r="E544" t="s">
        <v>1056</v>
      </c>
      <c r="F544" t="s">
        <v>1039</v>
      </c>
      <c r="G544" t="s">
        <v>961</v>
      </c>
      <c r="H544">
        <v>1.22</v>
      </c>
      <c r="K544">
        <v>107333434</v>
      </c>
      <c r="L544" s="2">
        <v>45058</v>
      </c>
      <c r="M544">
        <v>28</v>
      </c>
      <c r="N544">
        <v>1</v>
      </c>
      <c r="O544">
        <v>0</v>
      </c>
      <c r="P544">
        <v>1</v>
      </c>
      <c r="Q544" t="s">
        <v>7</v>
      </c>
    </row>
    <row r="545" spans="1:17">
      <c r="A545" t="s">
        <v>1021</v>
      </c>
      <c r="B545" t="s">
        <v>965</v>
      </c>
      <c r="C545">
        <v>3.2000000000000001E-2</v>
      </c>
      <c r="D545" t="s">
        <v>765</v>
      </c>
      <c r="E545" t="s">
        <v>1056</v>
      </c>
      <c r="F545" t="s">
        <v>1038</v>
      </c>
      <c r="G545" t="s">
        <v>961</v>
      </c>
      <c r="H545">
        <v>1.2450000000000001</v>
      </c>
      <c r="K545">
        <v>107913535</v>
      </c>
      <c r="L545" s="2">
        <v>45603</v>
      </c>
      <c r="M545">
        <v>21</v>
      </c>
      <c r="N545">
        <v>1</v>
      </c>
      <c r="O545">
        <v>0</v>
      </c>
      <c r="P545">
        <v>1</v>
      </c>
      <c r="Q545" t="s">
        <v>3</v>
      </c>
    </row>
    <row r="546" spans="1:17">
      <c r="A546" t="s">
        <v>1021</v>
      </c>
      <c r="B546" t="s">
        <v>965</v>
      </c>
      <c r="C546">
        <v>2.4E-2</v>
      </c>
      <c r="D546" t="s">
        <v>758</v>
      </c>
      <c r="E546" t="s">
        <v>1056</v>
      </c>
      <c r="F546" t="s">
        <v>1023</v>
      </c>
      <c r="G546" t="s">
        <v>961</v>
      </c>
      <c r="H546">
        <v>1.2529999999999999</v>
      </c>
      <c r="K546">
        <v>106187495</v>
      </c>
      <c r="L546" s="2">
        <v>43846</v>
      </c>
      <c r="M546">
        <v>21</v>
      </c>
      <c r="N546">
        <v>1</v>
      </c>
      <c r="O546">
        <v>0</v>
      </c>
      <c r="P546">
        <v>1</v>
      </c>
      <c r="Q546" t="s">
        <v>3</v>
      </c>
    </row>
    <row r="547" spans="1:17">
      <c r="A547" t="s">
        <v>1021</v>
      </c>
      <c r="B547" t="s">
        <v>965</v>
      </c>
      <c r="C547">
        <v>1.9E-2</v>
      </c>
      <c r="D547" t="s">
        <v>758</v>
      </c>
      <c r="E547" t="s">
        <v>1056</v>
      </c>
      <c r="F547" t="s">
        <v>1023</v>
      </c>
      <c r="G547" t="s">
        <v>961</v>
      </c>
      <c r="H547">
        <v>1.258</v>
      </c>
      <c r="K547">
        <v>107502331</v>
      </c>
      <c r="L547" s="2">
        <v>45224</v>
      </c>
      <c r="M547">
        <v>17</v>
      </c>
      <c r="N547">
        <v>1</v>
      </c>
      <c r="O547">
        <v>0</v>
      </c>
      <c r="P547">
        <v>1</v>
      </c>
      <c r="Q547" t="s">
        <v>7</v>
      </c>
    </row>
    <row r="548" spans="1:17">
      <c r="A548" t="s">
        <v>1021</v>
      </c>
      <c r="B548" t="s">
        <v>965</v>
      </c>
      <c r="C548">
        <v>0</v>
      </c>
      <c r="E548" t="s">
        <v>1056</v>
      </c>
      <c r="F548" t="s">
        <v>1064</v>
      </c>
      <c r="G548" t="s">
        <v>961</v>
      </c>
      <c r="H548">
        <v>1.2769999999999999</v>
      </c>
      <c r="K548">
        <v>108383969</v>
      </c>
      <c r="L548" s="2">
        <v>46049</v>
      </c>
      <c r="M548">
        <v>21</v>
      </c>
      <c r="N548">
        <v>1</v>
      </c>
      <c r="O548">
        <v>8</v>
      </c>
      <c r="P548">
        <v>1</v>
      </c>
      <c r="Q548" t="s">
        <v>7</v>
      </c>
    </row>
    <row r="549" spans="1:17">
      <c r="A549" t="s">
        <v>1021</v>
      </c>
      <c r="B549" t="s">
        <v>965</v>
      </c>
      <c r="C549">
        <v>0</v>
      </c>
      <c r="E549" t="s">
        <v>1056</v>
      </c>
      <c r="F549" t="s">
        <v>1064</v>
      </c>
      <c r="G549" t="s">
        <v>961</v>
      </c>
      <c r="H549">
        <v>1.2769999999999999</v>
      </c>
      <c r="K549">
        <v>107966811</v>
      </c>
      <c r="L549" s="2">
        <v>45648</v>
      </c>
      <c r="M549">
        <v>30</v>
      </c>
      <c r="N549">
        <v>1</v>
      </c>
      <c r="O549">
        <v>12</v>
      </c>
      <c r="P549">
        <v>1</v>
      </c>
      <c r="Q549" t="s">
        <v>7</v>
      </c>
    </row>
    <row r="550" spans="1:17">
      <c r="A550" t="s">
        <v>1021</v>
      </c>
      <c r="B550" t="s">
        <v>965</v>
      </c>
      <c r="C550">
        <v>2E-3</v>
      </c>
      <c r="D550" t="s">
        <v>756</v>
      </c>
      <c r="E550" t="s">
        <v>1056</v>
      </c>
      <c r="F550" t="s">
        <v>1064</v>
      </c>
      <c r="G550" t="s">
        <v>961</v>
      </c>
      <c r="H550">
        <v>1.2789999999999999</v>
      </c>
      <c r="K550">
        <v>107204125</v>
      </c>
      <c r="L550" s="2">
        <v>44932</v>
      </c>
      <c r="M550">
        <v>21</v>
      </c>
      <c r="N550">
        <v>1</v>
      </c>
      <c r="O550">
        <v>0</v>
      </c>
      <c r="P550">
        <v>1</v>
      </c>
      <c r="Q550" t="s">
        <v>7</v>
      </c>
    </row>
    <row r="551" spans="1:17">
      <c r="A551" t="s">
        <v>1021</v>
      </c>
      <c r="B551" t="s">
        <v>965</v>
      </c>
      <c r="C551">
        <v>1.9E-2</v>
      </c>
      <c r="D551" t="s">
        <v>756</v>
      </c>
      <c r="E551" t="s">
        <v>1056</v>
      </c>
      <c r="F551" t="s">
        <v>1064</v>
      </c>
      <c r="G551" t="s">
        <v>961</v>
      </c>
      <c r="H551">
        <v>1.296</v>
      </c>
      <c r="K551">
        <v>107173196</v>
      </c>
      <c r="L551" s="2">
        <v>44376</v>
      </c>
      <c r="M551">
        <v>21</v>
      </c>
      <c r="N551">
        <v>1</v>
      </c>
      <c r="O551">
        <v>0</v>
      </c>
      <c r="P551">
        <v>1</v>
      </c>
      <c r="Q551" t="s">
        <v>7</v>
      </c>
    </row>
    <row r="552" spans="1:17">
      <c r="A552" t="s">
        <v>1021</v>
      </c>
      <c r="B552" t="s">
        <v>965</v>
      </c>
      <c r="C552">
        <v>1.9E-2</v>
      </c>
      <c r="D552" t="s">
        <v>762</v>
      </c>
      <c r="E552" t="s">
        <v>1056</v>
      </c>
      <c r="F552" t="s">
        <v>1064</v>
      </c>
      <c r="G552" t="s">
        <v>961</v>
      </c>
      <c r="H552">
        <v>1.296</v>
      </c>
      <c r="K552">
        <v>108305050</v>
      </c>
      <c r="L552" s="2">
        <v>45974</v>
      </c>
      <c r="M552">
        <v>21</v>
      </c>
      <c r="N552">
        <v>1</v>
      </c>
      <c r="O552">
        <v>0</v>
      </c>
      <c r="P552">
        <v>1</v>
      </c>
      <c r="Q552" t="s">
        <v>7</v>
      </c>
    </row>
    <row r="553" spans="1:17">
      <c r="A553" t="s">
        <v>1021</v>
      </c>
      <c r="B553" t="s">
        <v>965</v>
      </c>
      <c r="C553">
        <v>3.1E-2</v>
      </c>
      <c r="D553" t="s">
        <v>756</v>
      </c>
      <c r="E553" t="s">
        <v>1056</v>
      </c>
      <c r="F553" t="s">
        <v>1064</v>
      </c>
      <c r="G553" t="s">
        <v>961</v>
      </c>
      <c r="H553">
        <v>1.3080000000000001</v>
      </c>
      <c r="K553">
        <v>105168896</v>
      </c>
      <c r="L553" s="2">
        <v>42930</v>
      </c>
      <c r="M553">
        <v>21</v>
      </c>
      <c r="N553">
        <v>1</v>
      </c>
      <c r="O553">
        <v>0</v>
      </c>
      <c r="P553">
        <v>1</v>
      </c>
      <c r="Q553" t="s">
        <v>3</v>
      </c>
    </row>
    <row r="554" spans="1:17">
      <c r="A554" t="s">
        <v>1021</v>
      </c>
      <c r="B554" t="s">
        <v>965</v>
      </c>
      <c r="C554">
        <v>0.1</v>
      </c>
      <c r="D554" t="s">
        <v>758</v>
      </c>
      <c r="E554" t="s">
        <v>1052</v>
      </c>
      <c r="F554" t="s">
        <v>1064</v>
      </c>
      <c r="G554" t="s">
        <v>961</v>
      </c>
      <c r="H554">
        <v>1.331</v>
      </c>
      <c r="K554">
        <v>105881708</v>
      </c>
      <c r="L554" s="2">
        <v>43585</v>
      </c>
      <c r="M554">
        <v>21</v>
      </c>
      <c r="N554">
        <v>1</v>
      </c>
      <c r="P554">
        <v>1</v>
      </c>
      <c r="Q554" t="s">
        <v>7</v>
      </c>
    </row>
    <row r="555" spans="1:17">
      <c r="A555" t="s">
        <v>1021</v>
      </c>
      <c r="B555" t="s">
        <v>965</v>
      </c>
      <c r="C555">
        <v>8.5000000000000006E-2</v>
      </c>
      <c r="D555" t="s">
        <v>758</v>
      </c>
      <c r="E555" t="s">
        <v>1052</v>
      </c>
      <c r="F555" t="s">
        <v>1064</v>
      </c>
      <c r="G555" t="s">
        <v>961</v>
      </c>
      <c r="H555">
        <v>1.3460000000000001</v>
      </c>
      <c r="K555">
        <v>106802074</v>
      </c>
      <c r="L555" s="2">
        <v>44364</v>
      </c>
      <c r="M555">
        <v>28</v>
      </c>
      <c r="N555">
        <v>1</v>
      </c>
      <c r="O555">
        <v>0</v>
      </c>
      <c r="P555">
        <v>1</v>
      </c>
      <c r="Q555" t="s">
        <v>7</v>
      </c>
    </row>
    <row r="556" spans="1:17">
      <c r="A556" t="s">
        <v>1021</v>
      </c>
      <c r="B556" t="s">
        <v>965</v>
      </c>
      <c r="C556">
        <v>8.7999999999999995E-2</v>
      </c>
      <c r="D556" t="s">
        <v>762</v>
      </c>
      <c r="E556" t="s">
        <v>1056</v>
      </c>
      <c r="F556" t="s">
        <v>1052</v>
      </c>
      <c r="G556" t="s">
        <v>961</v>
      </c>
      <c r="H556">
        <v>1.365</v>
      </c>
      <c r="K556">
        <v>108194580</v>
      </c>
      <c r="L556" s="2">
        <v>45876</v>
      </c>
      <c r="M556">
        <v>21</v>
      </c>
      <c r="N556">
        <v>2</v>
      </c>
      <c r="O556">
        <v>7</v>
      </c>
      <c r="P556">
        <v>1</v>
      </c>
      <c r="Q556" t="s">
        <v>7</v>
      </c>
    </row>
    <row r="557" spans="1:17">
      <c r="A557" t="s">
        <v>1021</v>
      </c>
      <c r="B557" t="s">
        <v>965</v>
      </c>
      <c r="C557">
        <v>3.7999999999999999E-2</v>
      </c>
      <c r="D557" t="s">
        <v>758</v>
      </c>
      <c r="E557" t="s">
        <v>1064</v>
      </c>
      <c r="F557" t="s">
        <v>1056</v>
      </c>
      <c r="G557" t="s">
        <v>961</v>
      </c>
      <c r="H557">
        <v>1.367</v>
      </c>
      <c r="K557">
        <v>106802433</v>
      </c>
      <c r="L557" s="2">
        <v>44534</v>
      </c>
      <c r="M557">
        <v>21</v>
      </c>
      <c r="N557">
        <v>1</v>
      </c>
      <c r="O557">
        <v>12</v>
      </c>
      <c r="P557">
        <v>1</v>
      </c>
      <c r="Q557" t="s">
        <v>7</v>
      </c>
    </row>
    <row r="558" spans="1:17">
      <c r="A558" t="s">
        <v>1021</v>
      </c>
      <c r="B558" t="s">
        <v>965</v>
      </c>
      <c r="C558">
        <v>2.1999999999999999E-2</v>
      </c>
      <c r="D558" t="s">
        <v>765</v>
      </c>
      <c r="E558" t="s">
        <v>1064</v>
      </c>
      <c r="F558" t="s">
        <v>1056</v>
      </c>
      <c r="G558" t="s">
        <v>961</v>
      </c>
      <c r="H558">
        <v>1.383</v>
      </c>
      <c r="K558">
        <v>108566575</v>
      </c>
      <c r="L558" s="2">
        <v>46225</v>
      </c>
      <c r="M558">
        <v>28</v>
      </c>
      <c r="N558">
        <v>1</v>
      </c>
      <c r="O558">
        <v>0</v>
      </c>
      <c r="P558">
        <v>1</v>
      </c>
      <c r="Q558" t="s">
        <v>7</v>
      </c>
    </row>
    <row r="559" spans="1:17">
      <c r="A559" t="s">
        <v>1021</v>
      </c>
      <c r="B559" t="s">
        <v>965</v>
      </c>
      <c r="C559">
        <v>8.9999999999999993E-3</v>
      </c>
      <c r="D559" t="s">
        <v>758</v>
      </c>
      <c r="E559" t="s">
        <v>1064</v>
      </c>
      <c r="F559" t="s">
        <v>1056</v>
      </c>
      <c r="G559" t="s">
        <v>961</v>
      </c>
      <c r="H559">
        <v>1.3959999999999999</v>
      </c>
      <c r="K559">
        <v>106802187</v>
      </c>
      <c r="L559" s="2">
        <v>44418</v>
      </c>
      <c r="M559">
        <v>1</v>
      </c>
      <c r="N559">
        <v>3</v>
      </c>
      <c r="O559">
        <v>0</v>
      </c>
      <c r="P559">
        <v>1</v>
      </c>
      <c r="Q559" t="s">
        <v>7</v>
      </c>
    </row>
    <row r="560" spans="1:17">
      <c r="A560" t="s">
        <v>1021</v>
      </c>
      <c r="B560" t="s">
        <v>965</v>
      </c>
      <c r="C560">
        <v>5.0000000000000001E-3</v>
      </c>
      <c r="D560" t="s">
        <v>758</v>
      </c>
      <c r="E560" t="s">
        <v>1064</v>
      </c>
      <c r="F560" t="s">
        <v>1056</v>
      </c>
      <c r="G560" t="s">
        <v>961</v>
      </c>
      <c r="H560">
        <v>1.4</v>
      </c>
      <c r="K560">
        <v>105532240</v>
      </c>
      <c r="L560" s="2">
        <v>43270</v>
      </c>
      <c r="M560">
        <v>19</v>
      </c>
      <c r="N560">
        <v>1</v>
      </c>
      <c r="O560">
        <v>0</v>
      </c>
      <c r="P560">
        <v>1</v>
      </c>
      <c r="Q560" t="s">
        <v>8</v>
      </c>
    </row>
    <row r="561" spans="1:22">
      <c r="A561" t="s">
        <v>1021</v>
      </c>
      <c r="B561" t="s">
        <v>965</v>
      </c>
      <c r="C561">
        <v>4.0000000000000001E-3</v>
      </c>
      <c r="D561" t="s">
        <v>758</v>
      </c>
      <c r="E561" t="s">
        <v>1064</v>
      </c>
      <c r="F561" t="s">
        <v>1056</v>
      </c>
      <c r="G561" t="s">
        <v>961</v>
      </c>
      <c r="H561">
        <v>1.401</v>
      </c>
      <c r="K561">
        <v>106337857</v>
      </c>
      <c r="L561" s="2">
        <v>44045</v>
      </c>
      <c r="M561">
        <v>21</v>
      </c>
      <c r="N561">
        <v>1</v>
      </c>
      <c r="O561">
        <v>7</v>
      </c>
      <c r="P561">
        <v>4</v>
      </c>
      <c r="Q561" t="s">
        <v>3</v>
      </c>
    </row>
    <row r="562" spans="1:22">
      <c r="A562" t="s">
        <v>1021</v>
      </c>
      <c r="B562" t="s">
        <v>965</v>
      </c>
      <c r="C562">
        <v>0</v>
      </c>
      <c r="E562" t="s">
        <v>1064</v>
      </c>
      <c r="F562" t="s">
        <v>1056</v>
      </c>
      <c r="G562" t="s">
        <v>961</v>
      </c>
      <c r="H562">
        <v>1.405</v>
      </c>
      <c r="K562">
        <v>105612308</v>
      </c>
      <c r="L562" s="2">
        <v>43347</v>
      </c>
      <c r="M562">
        <v>21</v>
      </c>
      <c r="N562">
        <v>1</v>
      </c>
      <c r="O562">
        <v>7</v>
      </c>
      <c r="P562">
        <v>1</v>
      </c>
      <c r="Q562" t="s">
        <v>3</v>
      </c>
    </row>
    <row r="563" spans="1:22">
      <c r="A563" t="s">
        <v>1021</v>
      </c>
      <c r="B563" t="s">
        <v>965</v>
      </c>
      <c r="C563">
        <v>0</v>
      </c>
      <c r="E563" t="s">
        <v>1064</v>
      </c>
      <c r="F563" t="s">
        <v>1056</v>
      </c>
      <c r="G563" t="s">
        <v>961</v>
      </c>
      <c r="H563">
        <v>1.405</v>
      </c>
      <c r="K563">
        <v>106307647</v>
      </c>
      <c r="L563" s="2">
        <v>44008</v>
      </c>
      <c r="M563">
        <v>21</v>
      </c>
      <c r="N563">
        <v>1</v>
      </c>
      <c r="O563">
        <v>0</v>
      </c>
      <c r="P563">
        <v>1</v>
      </c>
      <c r="Q563" t="s">
        <v>3</v>
      </c>
    </row>
    <row r="564" spans="1:22">
      <c r="A564" t="s">
        <v>1021</v>
      </c>
      <c r="B564" t="s">
        <v>965</v>
      </c>
      <c r="C564">
        <v>0</v>
      </c>
      <c r="E564" t="s">
        <v>1064</v>
      </c>
      <c r="F564" t="s">
        <v>1056</v>
      </c>
      <c r="G564" t="s">
        <v>961</v>
      </c>
      <c r="H564">
        <v>1.405</v>
      </c>
      <c r="K564">
        <v>106000047</v>
      </c>
      <c r="L564" s="2">
        <v>43715</v>
      </c>
      <c r="M564">
        <v>30</v>
      </c>
      <c r="N564">
        <v>1</v>
      </c>
      <c r="O564">
        <v>7</v>
      </c>
      <c r="P564">
        <v>4</v>
      </c>
      <c r="Q564" t="s">
        <v>3</v>
      </c>
    </row>
    <row r="565" spans="1:22">
      <c r="A565" t="s">
        <v>1021</v>
      </c>
      <c r="B565" t="s">
        <v>965</v>
      </c>
      <c r="C565">
        <v>0</v>
      </c>
      <c r="E565" t="s">
        <v>1064</v>
      </c>
      <c r="F565" t="s">
        <v>1052</v>
      </c>
      <c r="G565" t="s">
        <v>961</v>
      </c>
      <c r="H565">
        <v>1.405</v>
      </c>
      <c r="K565">
        <v>106225085</v>
      </c>
      <c r="L565" s="2">
        <v>43944</v>
      </c>
      <c r="M565">
        <v>21</v>
      </c>
      <c r="N565">
        <v>1</v>
      </c>
      <c r="O565">
        <v>7</v>
      </c>
      <c r="P565">
        <v>1</v>
      </c>
      <c r="Q565" t="s">
        <v>7</v>
      </c>
    </row>
    <row r="566" spans="1:22">
      <c r="A566" t="s">
        <v>1021</v>
      </c>
      <c r="B566" t="s">
        <v>965</v>
      </c>
      <c r="C566">
        <v>0</v>
      </c>
      <c r="E566" t="s">
        <v>1064</v>
      </c>
      <c r="F566" t="s">
        <v>1052</v>
      </c>
      <c r="G566" t="s">
        <v>961</v>
      </c>
      <c r="H566">
        <v>1.405</v>
      </c>
      <c r="K566">
        <v>105669459</v>
      </c>
      <c r="L566" s="2">
        <v>43391</v>
      </c>
      <c r="M566">
        <v>23</v>
      </c>
      <c r="N566">
        <v>1</v>
      </c>
      <c r="O566">
        <v>7</v>
      </c>
      <c r="P566">
        <v>1</v>
      </c>
      <c r="Q566" t="s">
        <v>8</v>
      </c>
    </row>
    <row r="567" spans="1:22">
      <c r="A567" t="s">
        <v>1021</v>
      </c>
      <c r="B567" t="s">
        <v>965</v>
      </c>
      <c r="C567">
        <v>0</v>
      </c>
      <c r="E567" t="s">
        <v>1064</v>
      </c>
      <c r="F567" t="s">
        <v>1052</v>
      </c>
      <c r="G567" t="s">
        <v>961</v>
      </c>
      <c r="H567">
        <v>1.405</v>
      </c>
      <c r="K567">
        <v>105950185</v>
      </c>
      <c r="L567" s="2">
        <v>43668</v>
      </c>
      <c r="M567">
        <v>30</v>
      </c>
      <c r="N567">
        <v>1</v>
      </c>
      <c r="O567">
        <v>7</v>
      </c>
      <c r="P567">
        <v>1</v>
      </c>
      <c r="Q567" t="s">
        <v>8</v>
      </c>
    </row>
    <row r="568" spans="1:22">
      <c r="A568" t="s">
        <v>1021</v>
      </c>
      <c r="B568" t="s">
        <v>965</v>
      </c>
      <c r="C568">
        <v>1.0999999999999999E-2</v>
      </c>
      <c r="D568" t="s">
        <v>758</v>
      </c>
      <c r="E568" t="s">
        <v>1052</v>
      </c>
      <c r="F568" t="s">
        <v>1064</v>
      </c>
      <c r="G568" t="s">
        <v>961</v>
      </c>
      <c r="H568">
        <v>1.42</v>
      </c>
      <c r="K568">
        <v>105257908</v>
      </c>
      <c r="L568" s="2">
        <v>43020</v>
      </c>
      <c r="M568">
        <v>14</v>
      </c>
      <c r="N568">
        <v>1</v>
      </c>
      <c r="O568">
        <v>0</v>
      </c>
      <c r="P568">
        <v>1</v>
      </c>
      <c r="Q568" t="s">
        <v>3</v>
      </c>
      <c r="R568">
        <v>35.171573000000002</v>
      </c>
      <c r="S568">
        <v>-79.409191000000007</v>
      </c>
      <c r="T568" t="s">
        <v>1077</v>
      </c>
      <c r="U568" t="s">
        <v>367</v>
      </c>
      <c r="V568">
        <v>1.1543000000000001</v>
      </c>
    </row>
    <row r="569" spans="1:22">
      <c r="A569" t="s">
        <v>1021</v>
      </c>
      <c r="B569" t="s">
        <v>1052</v>
      </c>
      <c r="C569">
        <v>0</v>
      </c>
      <c r="E569" t="s">
        <v>965</v>
      </c>
      <c r="F569" t="s">
        <v>1053</v>
      </c>
      <c r="G569" t="s">
        <v>961</v>
      </c>
      <c r="H569">
        <v>1.431</v>
      </c>
      <c r="K569">
        <v>108487914</v>
      </c>
      <c r="L569" s="2">
        <v>46147</v>
      </c>
      <c r="M569">
        <v>28</v>
      </c>
      <c r="N569">
        <v>1</v>
      </c>
      <c r="O569">
        <v>8</v>
      </c>
      <c r="P569">
        <v>1</v>
      </c>
      <c r="Q569" t="s">
        <v>7</v>
      </c>
    </row>
    <row r="570" spans="1:22">
      <c r="A570" t="s">
        <v>1021</v>
      </c>
      <c r="B570" t="s">
        <v>965</v>
      </c>
      <c r="C570">
        <v>0</v>
      </c>
      <c r="E570" t="s">
        <v>1052</v>
      </c>
      <c r="F570" t="s">
        <v>1064</v>
      </c>
      <c r="G570" t="s">
        <v>961</v>
      </c>
      <c r="H570">
        <v>1.431</v>
      </c>
      <c r="K570">
        <v>106802412</v>
      </c>
      <c r="L570" s="2">
        <v>44524</v>
      </c>
      <c r="M570">
        <v>17</v>
      </c>
      <c r="N570">
        <v>1</v>
      </c>
      <c r="O570">
        <v>0</v>
      </c>
      <c r="P570">
        <v>4</v>
      </c>
      <c r="Q570" t="s">
        <v>7</v>
      </c>
    </row>
    <row r="571" spans="1:22">
      <c r="A571" t="s">
        <v>1021</v>
      </c>
      <c r="B571" t="s">
        <v>965</v>
      </c>
      <c r="C571">
        <v>0</v>
      </c>
      <c r="E571" t="s">
        <v>1052</v>
      </c>
      <c r="F571" t="s">
        <v>1064</v>
      </c>
      <c r="G571" t="s">
        <v>961</v>
      </c>
      <c r="H571">
        <v>1.431</v>
      </c>
      <c r="K571">
        <v>106891071</v>
      </c>
      <c r="L571" s="2">
        <v>44636</v>
      </c>
      <c r="M571">
        <v>26</v>
      </c>
      <c r="N571">
        <v>2</v>
      </c>
      <c r="O571">
        <v>8</v>
      </c>
      <c r="P571">
        <v>1</v>
      </c>
      <c r="Q571" t="s">
        <v>8</v>
      </c>
    </row>
    <row r="572" spans="1:22">
      <c r="A572" t="s">
        <v>1021</v>
      </c>
      <c r="B572" t="s">
        <v>965</v>
      </c>
      <c r="C572">
        <v>0</v>
      </c>
      <c r="D572" t="s">
        <v>765</v>
      </c>
      <c r="E572" t="s">
        <v>1052</v>
      </c>
      <c r="F572" t="s">
        <v>1056</v>
      </c>
      <c r="G572" t="s">
        <v>961</v>
      </c>
      <c r="H572">
        <v>1.431</v>
      </c>
      <c r="K572">
        <v>108013481</v>
      </c>
      <c r="L572" s="2">
        <v>45695</v>
      </c>
      <c r="M572">
        <v>14</v>
      </c>
      <c r="N572">
        <v>1</v>
      </c>
      <c r="O572">
        <v>8</v>
      </c>
      <c r="P572">
        <v>1</v>
      </c>
      <c r="Q572" t="s">
        <v>7</v>
      </c>
      <c r="R572">
        <v>35.171214999999997</v>
      </c>
      <c r="S572">
        <v>-79.408479999999997</v>
      </c>
      <c r="T572" t="s">
        <v>1060</v>
      </c>
      <c r="U572" t="s">
        <v>367</v>
      </c>
      <c r="V572">
        <v>1.2010000000000001</v>
      </c>
    </row>
    <row r="573" spans="1:22">
      <c r="A573" t="s">
        <v>1021</v>
      </c>
      <c r="B573" t="s">
        <v>965</v>
      </c>
      <c r="C573">
        <v>0</v>
      </c>
      <c r="E573" t="s">
        <v>1052</v>
      </c>
      <c r="F573" t="s">
        <v>1056</v>
      </c>
      <c r="G573" t="s">
        <v>961</v>
      </c>
      <c r="H573">
        <v>1.431</v>
      </c>
      <c r="K573">
        <v>107321780</v>
      </c>
      <c r="L573" s="2">
        <v>45048</v>
      </c>
      <c r="M573">
        <v>30</v>
      </c>
      <c r="N573">
        <v>1</v>
      </c>
      <c r="O573">
        <v>8</v>
      </c>
      <c r="P573">
        <v>1</v>
      </c>
      <c r="Q573" t="s">
        <v>7</v>
      </c>
    </row>
    <row r="574" spans="1:22">
      <c r="A574" t="s">
        <v>1021</v>
      </c>
      <c r="B574" t="s">
        <v>965</v>
      </c>
      <c r="C574">
        <v>0</v>
      </c>
      <c r="E574" t="s">
        <v>1052</v>
      </c>
      <c r="F574" t="s">
        <v>979</v>
      </c>
      <c r="G574" t="s">
        <v>961</v>
      </c>
      <c r="H574">
        <v>1.431</v>
      </c>
      <c r="K574">
        <v>106802234</v>
      </c>
      <c r="L574" s="2">
        <v>44453</v>
      </c>
      <c r="M574">
        <v>21</v>
      </c>
      <c r="N574">
        <v>1</v>
      </c>
      <c r="O574">
        <v>8</v>
      </c>
      <c r="P574">
        <v>1</v>
      </c>
      <c r="Q574" t="s">
        <v>7</v>
      </c>
    </row>
    <row r="575" spans="1:22">
      <c r="A575" t="s">
        <v>1021</v>
      </c>
      <c r="B575" t="s">
        <v>965</v>
      </c>
      <c r="C575">
        <v>1E-3</v>
      </c>
      <c r="D575" t="s">
        <v>756</v>
      </c>
      <c r="E575" t="s">
        <v>1052</v>
      </c>
      <c r="F575" t="s">
        <v>1032</v>
      </c>
      <c r="G575" t="s">
        <v>961</v>
      </c>
      <c r="H575">
        <v>1.4319999999999999</v>
      </c>
      <c r="K575">
        <v>105416326</v>
      </c>
      <c r="L575" s="2">
        <v>43158</v>
      </c>
      <c r="M575">
        <v>30</v>
      </c>
      <c r="N575">
        <v>1</v>
      </c>
      <c r="O575">
        <v>8</v>
      </c>
      <c r="P575">
        <v>1</v>
      </c>
      <c r="Q575" t="s">
        <v>7</v>
      </c>
    </row>
    <row r="576" spans="1:22">
      <c r="A576" t="s">
        <v>1021</v>
      </c>
      <c r="B576" t="s">
        <v>965</v>
      </c>
      <c r="C576">
        <v>5.0000000000000001E-3</v>
      </c>
      <c r="D576" t="s">
        <v>756</v>
      </c>
      <c r="E576" t="s">
        <v>1052</v>
      </c>
      <c r="F576" t="s">
        <v>979</v>
      </c>
      <c r="G576" t="s">
        <v>961</v>
      </c>
      <c r="H576">
        <v>1.4359999999999999</v>
      </c>
      <c r="K576">
        <v>105322856</v>
      </c>
      <c r="L576" s="2">
        <v>43059</v>
      </c>
      <c r="M576">
        <v>21</v>
      </c>
      <c r="N576">
        <v>1</v>
      </c>
      <c r="O576">
        <v>0</v>
      </c>
      <c r="P576">
        <v>1</v>
      </c>
      <c r="Q576" t="s">
        <v>3</v>
      </c>
    </row>
    <row r="577" spans="1:17">
      <c r="A577" t="s">
        <v>1021</v>
      </c>
      <c r="B577" t="s">
        <v>965</v>
      </c>
      <c r="C577">
        <v>8.9999999999999993E-3</v>
      </c>
      <c r="D577" t="s">
        <v>756</v>
      </c>
      <c r="E577" t="s">
        <v>1052</v>
      </c>
      <c r="F577" t="s">
        <v>979</v>
      </c>
      <c r="G577" t="s">
        <v>961</v>
      </c>
      <c r="H577">
        <v>1.44</v>
      </c>
      <c r="K577">
        <v>108318905</v>
      </c>
      <c r="L577" s="2">
        <v>45985</v>
      </c>
      <c r="M577">
        <v>21</v>
      </c>
      <c r="N577">
        <v>1</v>
      </c>
      <c r="O577">
        <v>8</v>
      </c>
      <c r="P577">
        <v>4</v>
      </c>
      <c r="Q577" t="s">
        <v>7</v>
      </c>
    </row>
    <row r="578" spans="1:17">
      <c r="A578" t="s">
        <v>1021</v>
      </c>
      <c r="B578" t="s">
        <v>965</v>
      </c>
      <c r="C578">
        <v>0.01</v>
      </c>
      <c r="D578" t="s">
        <v>756</v>
      </c>
      <c r="E578" t="s">
        <v>1052</v>
      </c>
      <c r="F578" t="s">
        <v>1032</v>
      </c>
      <c r="G578" t="s">
        <v>961</v>
      </c>
      <c r="H578">
        <v>1.4410000000000001</v>
      </c>
      <c r="K578">
        <v>107898047</v>
      </c>
      <c r="L578" s="2">
        <v>45590</v>
      </c>
      <c r="M578">
        <v>30</v>
      </c>
      <c r="N578">
        <v>1</v>
      </c>
      <c r="O578">
        <v>0</v>
      </c>
      <c r="P578">
        <v>1</v>
      </c>
      <c r="Q578" t="s">
        <v>3</v>
      </c>
    </row>
    <row r="579" spans="1:17">
      <c r="A579" t="s">
        <v>1021</v>
      </c>
      <c r="B579" t="s">
        <v>965</v>
      </c>
      <c r="C579">
        <v>4.7E-2</v>
      </c>
      <c r="D579" t="s">
        <v>756</v>
      </c>
      <c r="E579" t="s">
        <v>1064</v>
      </c>
      <c r="F579" t="s">
        <v>1056</v>
      </c>
      <c r="G579" t="s">
        <v>961</v>
      </c>
      <c r="H579">
        <v>1.452</v>
      </c>
      <c r="K579">
        <v>107502104</v>
      </c>
      <c r="L579" s="2">
        <v>45224</v>
      </c>
      <c r="M579">
        <v>28</v>
      </c>
      <c r="N579">
        <v>1</v>
      </c>
      <c r="O579">
        <v>0</v>
      </c>
      <c r="P579">
        <v>3</v>
      </c>
      <c r="Q579" t="s">
        <v>7</v>
      </c>
    </row>
    <row r="580" spans="1:17">
      <c r="A580" t="s">
        <v>1021</v>
      </c>
      <c r="B580" t="s">
        <v>965</v>
      </c>
      <c r="C580">
        <v>2.5000000000000001E-2</v>
      </c>
      <c r="D580" t="s">
        <v>756</v>
      </c>
      <c r="E580" t="s">
        <v>1052</v>
      </c>
      <c r="F580" t="s">
        <v>1054</v>
      </c>
      <c r="G580" t="s">
        <v>961</v>
      </c>
      <c r="H580">
        <v>1.456</v>
      </c>
      <c r="K580">
        <v>107109749</v>
      </c>
      <c r="L580" s="2">
        <v>44847</v>
      </c>
      <c r="M580">
        <v>21</v>
      </c>
      <c r="N580">
        <v>1</v>
      </c>
      <c r="O580">
        <v>1</v>
      </c>
      <c r="P580">
        <v>1</v>
      </c>
      <c r="Q580" t="s">
        <v>7</v>
      </c>
    </row>
    <row r="581" spans="1:17">
      <c r="A581" t="s">
        <v>1021</v>
      </c>
      <c r="B581" t="s">
        <v>965</v>
      </c>
      <c r="C581">
        <v>3.6999999999999998E-2</v>
      </c>
      <c r="D581" t="s">
        <v>756</v>
      </c>
      <c r="E581" t="s">
        <v>1052</v>
      </c>
      <c r="F581" t="s">
        <v>979</v>
      </c>
      <c r="G581" t="s">
        <v>961</v>
      </c>
      <c r="H581">
        <v>1.468</v>
      </c>
      <c r="K581">
        <v>105532234</v>
      </c>
      <c r="L581" s="2">
        <v>43264</v>
      </c>
      <c r="M581">
        <v>21</v>
      </c>
      <c r="N581">
        <v>1</v>
      </c>
      <c r="O581">
        <v>0</v>
      </c>
      <c r="P581">
        <v>1</v>
      </c>
      <c r="Q581" t="s">
        <v>3</v>
      </c>
    </row>
    <row r="582" spans="1:17">
      <c r="A582" t="s">
        <v>1021</v>
      </c>
      <c r="B582" t="s">
        <v>965</v>
      </c>
      <c r="C582">
        <v>8.5999999999999993E-2</v>
      </c>
      <c r="D582" t="s">
        <v>756</v>
      </c>
      <c r="E582" t="s">
        <v>1052</v>
      </c>
      <c r="F582" t="s">
        <v>979</v>
      </c>
      <c r="G582" t="s">
        <v>961</v>
      </c>
      <c r="H582">
        <v>1.5169999999999999</v>
      </c>
      <c r="K582">
        <v>105196721</v>
      </c>
      <c r="L582" s="2">
        <v>42952</v>
      </c>
      <c r="M582">
        <v>31</v>
      </c>
      <c r="N582">
        <v>1</v>
      </c>
      <c r="O582">
        <v>8</v>
      </c>
      <c r="P582">
        <v>1</v>
      </c>
      <c r="Q582" t="s">
        <v>7</v>
      </c>
    </row>
    <row r="583" spans="1:17">
      <c r="A583" t="s">
        <v>1021</v>
      </c>
      <c r="B583" t="s">
        <v>965</v>
      </c>
      <c r="C583">
        <v>9.8000000000000004E-2</v>
      </c>
      <c r="D583" t="s">
        <v>756</v>
      </c>
      <c r="E583" t="s">
        <v>1052</v>
      </c>
      <c r="F583" t="s">
        <v>1064</v>
      </c>
      <c r="G583" t="s">
        <v>961</v>
      </c>
      <c r="H583">
        <v>1.5289999999999999</v>
      </c>
      <c r="K583">
        <v>107303579</v>
      </c>
      <c r="L583" s="2">
        <v>45032</v>
      </c>
      <c r="M583">
        <v>21</v>
      </c>
      <c r="N583">
        <v>1</v>
      </c>
      <c r="O583">
        <v>1</v>
      </c>
      <c r="P583">
        <v>4</v>
      </c>
      <c r="Q583" t="s">
        <v>7</v>
      </c>
    </row>
    <row r="584" spans="1:17">
      <c r="A584" t="s">
        <v>1021</v>
      </c>
      <c r="B584" t="s">
        <v>965</v>
      </c>
      <c r="C584">
        <v>0.1</v>
      </c>
      <c r="D584" t="s">
        <v>756</v>
      </c>
      <c r="E584" t="s">
        <v>1052</v>
      </c>
      <c r="F584" t="s">
        <v>1054</v>
      </c>
      <c r="G584" t="s">
        <v>961</v>
      </c>
      <c r="H584">
        <v>1.5309999999999999</v>
      </c>
      <c r="K584">
        <v>106386253</v>
      </c>
      <c r="L584" s="2">
        <v>44112</v>
      </c>
      <c r="M584">
        <v>21</v>
      </c>
      <c r="N584">
        <v>1</v>
      </c>
      <c r="O584">
        <v>1</v>
      </c>
      <c r="P584">
        <v>1</v>
      </c>
      <c r="Q584" t="s">
        <v>3</v>
      </c>
    </row>
    <row r="585" spans="1:17">
      <c r="A585" t="s">
        <v>1021</v>
      </c>
      <c r="B585" t="s">
        <v>965</v>
      </c>
      <c r="C585">
        <v>0.7</v>
      </c>
      <c r="D585" t="s">
        <v>756</v>
      </c>
      <c r="E585" t="s">
        <v>1039</v>
      </c>
      <c r="F585" t="s">
        <v>1064</v>
      </c>
      <c r="G585" t="s">
        <v>961</v>
      </c>
      <c r="H585">
        <v>1.5389999999999999</v>
      </c>
      <c r="K585">
        <v>107288100</v>
      </c>
      <c r="L585" s="2">
        <v>45015</v>
      </c>
      <c r="M585">
        <v>17</v>
      </c>
      <c r="N585">
        <v>1</v>
      </c>
      <c r="O585">
        <v>0</v>
      </c>
      <c r="P585">
        <v>1</v>
      </c>
      <c r="Q585" t="s">
        <v>7</v>
      </c>
    </row>
    <row r="586" spans="1:17">
      <c r="A586" t="s">
        <v>1021</v>
      </c>
      <c r="B586" t="s">
        <v>965</v>
      </c>
      <c r="C586">
        <v>5.7000000000000002E-2</v>
      </c>
      <c r="D586" t="s">
        <v>758</v>
      </c>
      <c r="E586" t="s">
        <v>979</v>
      </c>
      <c r="F586" t="s">
        <v>1052</v>
      </c>
      <c r="G586" t="s">
        <v>961</v>
      </c>
      <c r="H586">
        <v>1.5389999999999999</v>
      </c>
      <c r="K586">
        <v>107150016</v>
      </c>
      <c r="L586" s="2">
        <v>44873</v>
      </c>
      <c r="M586">
        <v>17</v>
      </c>
      <c r="N586">
        <v>1</v>
      </c>
      <c r="O586">
        <v>0</v>
      </c>
      <c r="P586">
        <v>1</v>
      </c>
      <c r="Q586" t="s">
        <v>7</v>
      </c>
    </row>
    <row r="587" spans="1:17">
      <c r="A587" t="s">
        <v>1021</v>
      </c>
      <c r="B587" t="s">
        <v>965</v>
      </c>
      <c r="C587">
        <v>1.9E-2</v>
      </c>
      <c r="D587" t="s">
        <v>758</v>
      </c>
      <c r="E587" t="s">
        <v>979</v>
      </c>
      <c r="F587" t="s">
        <v>1052</v>
      </c>
      <c r="G587" t="s">
        <v>961</v>
      </c>
      <c r="H587">
        <v>1.577</v>
      </c>
      <c r="K587">
        <v>105028159</v>
      </c>
      <c r="L587" s="2">
        <v>42766</v>
      </c>
      <c r="M587">
        <v>28</v>
      </c>
      <c r="N587">
        <v>1</v>
      </c>
      <c r="P587">
        <v>5</v>
      </c>
      <c r="Q587" t="s">
        <v>7</v>
      </c>
    </row>
    <row r="588" spans="1:17">
      <c r="A588" t="s">
        <v>1021</v>
      </c>
      <c r="B588" t="s">
        <v>965</v>
      </c>
      <c r="C588">
        <v>1.9E-2</v>
      </c>
      <c r="D588" t="s">
        <v>765</v>
      </c>
      <c r="E588" t="s">
        <v>979</v>
      </c>
      <c r="F588" t="s">
        <v>1052</v>
      </c>
      <c r="G588" t="s">
        <v>961</v>
      </c>
      <c r="H588">
        <v>1.577</v>
      </c>
      <c r="K588">
        <v>107251476</v>
      </c>
      <c r="L588" s="2">
        <v>44979</v>
      </c>
      <c r="M588">
        <v>30</v>
      </c>
      <c r="N588">
        <v>1</v>
      </c>
      <c r="O588">
        <v>8</v>
      </c>
      <c r="P588">
        <v>1</v>
      </c>
      <c r="Q588" t="s">
        <v>7</v>
      </c>
    </row>
    <row r="589" spans="1:17">
      <c r="A589" t="s">
        <v>1021</v>
      </c>
      <c r="B589" t="s">
        <v>965</v>
      </c>
      <c r="C589">
        <v>1.9E-2</v>
      </c>
      <c r="D589" t="s">
        <v>758</v>
      </c>
      <c r="E589" t="s">
        <v>979</v>
      </c>
      <c r="F589" t="s">
        <v>1052</v>
      </c>
      <c r="G589" t="s">
        <v>961</v>
      </c>
      <c r="H589">
        <v>1.577</v>
      </c>
      <c r="K589">
        <v>106502455</v>
      </c>
      <c r="L589" s="2">
        <v>44201</v>
      </c>
      <c r="M589">
        <v>32</v>
      </c>
      <c r="N589">
        <v>1</v>
      </c>
      <c r="P589">
        <v>1</v>
      </c>
      <c r="Q589" t="s">
        <v>7</v>
      </c>
    </row>
    <row r="590" spans="1:17">
      <c r="A590" t="s">
        <v>1021</v>
      </c>
      <c r="B590" t="s">
        <v>965</v>
      </c>
      <c r="C590">
        <v>0.01</v>
      </c>
      <c r="D590" t="s">
        <v>758</v>
      </c>
      <c r="E590" t="s">
        <v>979</v>
      </c>
      <c r="F590" t="s">
        <v>1119</v>
      </c>
      <c r="G590" t="s">
        <v>961</v>
      </c>
      <c r="H590">
        <v>1.5860000000000001</v>
      </c>
      <c r="K590">
        <v>106211357</v>
      </c>
      <c r="L590" s="2">
        <v>43866</v>
      </c>
      <c r="M590">
        <v>21</v>
      </c>
      <c r="N590">
        <v>2</v>
      </c>
      <c r="O590">
        <v>0</v>
      </c>
      <c r="P590">
        <v>1</v>
      </c>
      <c r="Q590" t="s">
        <v>7</v>
      </c>
    </row>
    <row r="591" spans="1:17">
      <c r="A591" t="s">
        <v>1021</v>
      </c>
      <c r="B591" t="s">
        <v>965</v>
      </c>
      <c r="C591">
        <v>2E-3</v>
      </c>
      <c r="D591" t="s">
        <v>758</v>
      </c>
      <c r="E591" t="s">
        <v>979</v>
      </c>
      <c r="F591" t="s">
        <v>1113</v>
      </c>
      <c r="G591" t="s">
        <v>961</v>
      </c>
      <c r="H591">
        <v>1.5940000000000001</v>
      </c>
      <c r="K591">
        <v>105919394</v>
      </c>
      <c r="L591" s="2">
        <v>43628</v>
      </c>
      <c r="M591">
        <v>21</v>
      </c>
      <c r="N591">
        <v>2</v>
      </c>
      <c r="O591">
        <v>8</v>
      </c>
      <c r="P591">
        <v>1</v>
      </c>
      <c r="Q591" t="s">
        <v>7</v>
      </c>
    </row>
    <row r="592" spans="1:17">
      <c r="A592" t="s">
        <v>1021</v>
      </c>
      <c r="B592" t="s">
        <v>965</v>
      </c>
      <c r="C592">
        <v>2E-3</v>
      </c>
      <c r="D592" t="s">
        <v>765</v>
      </c>
      <c r="E592" t="s">
        <v>979</v>
      </c>
      <c r="F592" t="s">
        <v>1088</v>
      </c>
      <c r="G592" t="s">
        <v>961</v>
      </c>
      <c r="H592">
        <v>1.5940000000000001</v>
      </c>
      <c r="K592">
        <v>108606539</v>
      </c>
      <c r="L592" s="2">
        <v>46265</v>
      </c>
      <c r="M592">
        <v>21</v>
      </c>
      <c r="N592">
        <v>1</v>
      </c>
      <c r="O592">
        <v>8</v>
      </c>
      <c r="P592">
        <v>1</v>
      </c>
      <c r="Q592" t="s">
        <v>8</v>
      </c>
    </row>
    <row r="593" spans="1:17">
      <c r="A593" t="s">
        <v>1021</v>
      </c>
      <c r="B593" t="s">
        <v>965</v>
      </c>
      <c r="C593">
        <v>0</v>
      </c>
      <c r="E593" t="s">
        <v>979</v>
      </c>
      <c r="F593" t="s">
        <v>1088</v>
      </c>
      <c r="G593" t="s">
        <v>961</v>
      </c>
      <c r="H593">
        <v>1.5960000000000001</v>
      </c>
      <c r="K593">
        <v>108029530</v>
      </c>
      <c r="L593" s="2">
        <v>45712</v>
      </c>
      <c r="M593">
        <v>21</v>
      </c>
      <c r="N593">
        <v>1</v>
      </c>
      <c r="O593">
        <v>0</v>
      </c>
      <c r="P593">
        <v>1</v>
      </c>
      <c r="Q593" t="s">
        <v>7</v>
      </c>
    </row>
    <row r="594" spans="1:17">
      <c r="A594" t="s">
        <v>1021</v>
      </c>
      <c r="B594" t="s">
        <v>965</v>
      </c>
      <c r="C594">
        <v>0</v>
      </c>
      <c r="E594" t="s">
        <v>979</v>
      </c>
      <c r="F594" t="s">
        <v>1088</v>
      </c>
      <c r="G594" t="s">
        <v>961</v>
      </c>
      <c r="H594">
        <v>1.5960000000000001</v>
      </c>
      <c r="K594">
        <v>104998989</v>
      </c>
      <c r="L594" s="2">
        <v>42735</v>
      </c>
      <c r="M594">
        <v>30</v>
      </c>
      <c r="N594">
        <v>1</v>
      </c>
      <c r="O594">
        <v>7</v>
      </c>
      <c r="P594">
        <v>4</v>
      </c>
      <c r="Q594" t="s">
        <v>3</v>
      </c>
    </row>
    <row r="595" spans="1:17">
      <c r="A595" t="s">
        <v>1021</v>
      </c>
      <c r="B595" t="s">
        <v>965</v>
      </c>
      <c r="C595">
        <v>0</v>
      </c>
      <c r="E595" t="s">
        <v>979</v>
      </c>
      <c r="F595" t="s">
        <v>1032</v>
      </c>
      <c r="G595" t="s">
        <v>961</v>
      </c>
      <c r="H595">
        <v>1.5960000000000001</v>
      </c>
      <c r="K595">
        <v>105277902</v>
      </c>
      <c r="L595" s="2">
        <v>43032</v>
      </c>
      <c r="M595">
        <v>21</v>
      </c>
      <c r="N595">
        <v>1</v>
      </c>
      <c r="O595">
        <v>8</v>
      </c>
      <c r="P595">
        <v>1</v>
      </c>
      <c r="Q595" t="s">
        <v>7</v>
      </c>
    </row>
    <row r="596" spans="1:17">
      <c r="A596" t="s">
        <v>1021</v>
      </c>
      <c r="B596" t="s">
        <v>965</v>
      </c>
      <c r="C596">
        <v>0</v>
      </c>
      <c r="E596" t="s">
        <v>979</v>
      </c>
      <c r="F596" t="s">
        <v>1032</v>
      </c>
      <c r="G596" t="s">
        <v>961</v>
      </c>
      <c r="H596">
        <v>1.5960000000000001</v>
      </c>
      <c r="K596">
        <v>105847993</v>
      </c>
      <c r="L596" s="2">
        <v>43559</v>
      </c>
      <c r="M596">
        <v>21</v>
      </c>
      <c r="N596">
        <v>1</v>
      </c>
      <c r="O596">
        <v>8</v>
      </c>
      <c r="P596">
        <v>1</v>
      </c>
      <c r="Q596" t="s">
        <v>7</v>
      </c>
    </row>
    <row r="597" spans="1:17">
      <c r="A597" t="s">
        <v>1021</v>
      </c>
      <c r="B597" t="s">
        <v>965</v>
      </c>
      <c r="C597">
        <v>0</v>
      </c>
      <c r="E597" t="s">
        <v>979</v>
      </c>
      <c r="F597" t="s">
        <v>1032</v>
      </c>
      <c r="G597" t="s">
        <v>961</v>
      </c>
      <c r="H597">
        <v>1.5960000000000001</v>
      </c>
      <c r="K597">
        <v>106802179</v>
      </c>
      <c r="L597" s="2">
        <v>44413</v>
      </c>
      <c r="M597">
        <v>21</v>
      </c>
      <c r="N597">
        <v>1</v>
      </c>
      <c r="O597">
        <v>2</v>
      </c>
      <c r="P597">
        <v>1</v>
      </c>
      <c r="Q597" t="s">
        <v>7</v>
      </c>
    </row>
    <row r="598" spans="1:17">
      <c r="A598" t="s">
        <v>1021</v>
      </c>
      <c r="B598" t="s">
        <v>965</v>
      </c>
      <c r="C598">
        <v>0</v>
      </c>
      <c r="E598" t="s">
        <v>979</v>
      </c>
      <c r="F598" t="s">
        <v>1032</v>
      </c>
      <c r="G598" t="s">
        <v>961</v>
      </c>
      <c r="H598">
        <v>1.5960000000000001</v>
      </c>
      <c r="K598">
        <v>106802035</v>
      </c>
      <c r="L598" s="2">
        <v>44349</v>
      </c>
      <c r="M598">
        <v>21</v>
      </c>
      <c r="N598">
        <v>2</v>
      </c>
      <c r="O598">
        <v>2</v>
      </c>
      <c r="P598">
        <v>1</v>
      </c>
      <c r="Q598" t="s">
        <v>7</v>
      </c>
    </row>
    <row r="599" spans="1:17">
      <c r="A599" t="s">
        <v>1021</v>
      </c>
      <c r="B599" t="s">
        <v>965</v>
      </c>
      <c r="C599">
        <v>0</v>
      </c>
      <c r="E599" t="s">
        <v>979</v>
      </c>
      <c r="F599" t="s">
        <v>1032</v>
      </c>
      <c r="G599" t="s">
        <v>961</v>
      </c>
      <c r="H599">
        <v>1.5960000000000001</v>
      </c>
      <c r="K599">
        <v>105682091</v>
      </c>
      <c r="L599" s="2">
        <v>43410</v>
      </c>
      <c r="M599">
        <v>30</v>
      </c>
      <c r="N599">
        <v>2</v>
      </c>
      <c r="O599">
        <v>7</v>
      </c>
      <c r="P599">
        <v>1</v>
      </c>
      <c r="Q599" t="s">
        <v>3</v>
      </c>
    </row>
    <row r="600" spans="1:17">
      <c r="A600" t="s">
        <v>1021</v>
      </c>
      <c r="B600" t="s">
        <v>965</v>
      </c>
      <c r="C600">
        <v>0</v>
      </c>
      <c r="E600" t="s">
        <v>979</v>
      </c>
      <c r="F600" t="s">
        <v>1064</v>
      </c>
      <c r="G600" t="s">
        <v>961</v>
      </c>
      <c r="H600">
        <v>1.5960000000000001</v>
      </c>
      <c r="K600">
        <v>106802327</v>
      </c>
      <c r="L600" s="2">
        <v>44496</v>
      </c>
      <c r="M600">
        <v>21</v>
      </c>
      <c r="N600">
        <v>1</v>
      </c>
      <c r="O600">
        <v>2</v>
      </c>
      <c r="P600">
        <v>1</v>
      </c>
      <c r="Q600" t="s">
        <v>7</v>
      </c>
    </row>
    <row r="601" spans="1:17">
      <c r="A601" t="s">
        <v>1021</v>
      </c>
      <c r="B601" t="s">
        <v>965</v>
      </c>
      <c r="C601">
        <v>0</v>
      </c>
      <c r="E601" t="s">
        <v>979</v>
      </c>
      <c r="F601" t="s">
        <v>1064</v>
      </c>
      <c r="G601" t="s">
        <v>961</v>
      </c>
      <c r="H601">
        <v>1.5960000000000001</v>
      </c>
      <c r="K601">
        <v>106285439</v>
      </c>
      <c r="L601" s="2">
        <v>43977</v>
      </c>
      <c r="M601">
        <v>23</v>
      </c>
      <c r="N601">
        <v>1</v>
      </c>
      <c r="O601">
        <v>8</v>
      </c>
      <c r="P601">
        <v>1</v>
      </c>
      <c r="Q601" t="s">
        <v>3</v>
      </c>
    </row>
    <row r="602" spans="1:17">
      <c r="A602" t="s">
        <v>1021</v>
      </c>
      <c r="B602" t="s">
        <v>965</v>
      </c>
      <c r="C602">
        <v>0</v>
      </c>
      <c r="E602" t="s">
        <v>979</v>
      </c>
      <c r="F602" t="s">
        <v>1052</v>
      </c>
      <c r="G602" t="s">
        <v>961</v>
      </c>
      <c r="H602">
        <v>1.5960000000000001</v>
      </c>
      <c r="K602">
        <v>107101829</v>
      </c>
      <c r="L602" s="2">
        <v>44839</v>
      </c>
      <c r="M602">
        <v>5</v>
      </c>
      <c r="N602">
        <v>1</v>
      </c>
      <c r="O602">
        <v>8</v>
      </c>
      <c r="P602">
        <v>2</v>
      </c>
      <c r="Q602" t="s">
        <v>8</v>
      </c>
    </row>
    <row r="603" spans="1:17">
      <c r="A603" t="s">
        <v>1021</v>
      </c>
      <c r="B603" t="s">
        <v>965</v>
      </c>
      <c r="C603">
        <v>0</v>
      </c>
      <c r="E603" t="s">
        <v>979</v>
      </c>
      <c r="F603" t="s">
        <v>1052</v>
      </c>
      <c r="G603" t="s">
        <v>961</v>
      </c>
      <c r="H603">
        <v>1.5960000000000001</v>
      </c>
      <c r="K603">
        <v>107911891</v>
      </c>
      <c r="L603" s="2">
        <v>45602</v>
      </c>
      <c r="M603">
        <v>21</v>
      </c>
      <c r="N603">
        <v>1</v>
      </c>
      <c r="O603">
        <v>8</v>
      </c>
      <c r="P603">
        <v>1</v>
      </c>
      <c r="Q603" t="s">
        <v>7</v>
      </c>
    </row>
    <row r="604" spans="1:17">
      <c r="A604" t="s">
        <v>1021</v>
      </c>
      <c r="B604" t="s">
        <v>965</v>
      </c>
      <c r="C604">
        <v>0</v>
      </c>
      <c r="E604" t="s">
        <v>979</v>
      </c>
      <c r="F604" t="s">
        <v>1052</v>
      </c>
      <c r="G604" t="s">
        <v>961</v>
      </c>
      <c r="H604">
        <v>1.5960000000000001</v>
      </c>
      <c r="K604">
        <v>105329621</v>
      </c>
      <c r="L604" s="2">
        <v>43077</v>
      </c>
      <c r="M604">
        <v>23</v>
      </c>
      <c r="N604">
        <v>2</v>
      </c>
      <c r="O604">
        <v>19</v>
      </c>
      <c r="P604">
        <v>3</v>
      </c>
      <c r="Q604" t="s">
        <v>7</v>
      </c>
    </row>
    <row r="605" spans="1:17">
      <c r="A605" t="s">
        <v>1021</v>
      </c>
      <c r="B605" t="s">
        <v>965</v>
      </c>
      <c r="C605">
        <v>0</v>
      </c>
      <c r="E605" t="s">
        <v>979</v>
      </c>
      <c r="F605" t="s">
        <v>1052</v>
      </c>
      <c r="G605" t="s">
        <v>961</v>
      </c>
      <c r="H605">
        <v>1.5960000000000001</v>
      </c>
      <c r="K605">
        <v>107686011</v>
      </c>
      <c r="L605" s="2">
        <v>45394</v>
      </c>
      <c r="M605">
        <v>23</v>
      </c>
      <c r="N605">
        <v>1</v>
      </c>
      <c r="O605">
        <v>7</v>
      </c>
      <c r="P605">
        <v>1</v>
      </c>
      <c r="Q605" t="s">
        <v>7</v>
      </c>
    </row>
    <row r="606" spans="1:17">
      <c r="A606" t="s">
        <v>1021</v>
      </c>
      <c r="B606" t="s">
        <v>965</v>
      </c>
      <c r="C606">
        <v>0</v>
      </c>
      <c r="E606" t="s">
        <v>979</v>
      </c>
      <c r="F606" t="s">
        <v>1052</v>
      </c>
      <c r="G606" t="s">
        <v>961</v>
      </c>
      <c r="H606">
        <v>1.5960000000000001</v>
      </c>
      <c r="K606">
        <v>106296414</v>
      </c>
      <c r="L606" s="2">
        <v>44000</v>
      </c>
      <c r="M606">
        <v>28</v>
      </c>
      <c r="N606">
        <v>1</v>
      </c>
      <c r="O606">
        <v>8</v>
      </c>
      <c r="P606">
        <v>1</v>
      </c>
      <c r="Q606" t="s">
        <v>8</v>
      </c>
    </row>
    <row r="607" spans="1:17">
      <c r="A607" t="s">
        <v>1021</v>
      </c>
      <c r="B607" t="s">
        <v>965</v>
      </c>
      <c r="C607">
        <v>0</v>
      </c>
      <c r="E607" t="s">
        <v>979</v>
      </c>
      <c r="F607" t="s">
        <v>1052</v>
      </c>
      <c r="G607" t="s">
        <v>961</v>
      </c>
      <c r="H607">
        <v>1.5960000000000001</v>
      </c>
      <c r="K607">
        <v>104982032</v>
      </c>
      <c r="L607" s="2">
        <v>42730</v>
      </c>
      <c r="M607">
        <v>30</v>
      </c>
      <c r="N607">
        <v>1</v>
      </c>
      <c r="O607">
        <v>8</v>
      </c>
      <c r="P607">
        <v>2</v>
      </c>
      <c r="Q607" t="s">
        <v>7</v>
      </c>
    </row>
    <row r="608" spans="1:17">
      <c r="A608" t="s">
        <v>1021</v>
      </c>
      <c r="B608" t="s">
        <v>965</v>
      </c>
      <c r="C608">
        <v>0</v>
      </c>
      <c r="E608" t="s">
        <v>979</v>
      </c>
      <c r="F608" t="s">
        <v>1052</v>
      </c>
      <c r="G608" t="s">
        <v>961</v>
      </c>
      <c r="H608">
        <v>1.5960000000000001</v>
      </c>
      <c r="K608">
        <v>107747986</v>
      </c>
      <c r="L608" s="2">
        <v>45453</v>
      </c>
      <c r="M608">
        <v>30</v>
      </c>
      <c r="N608">
        <v>1</v>
      </c>
      <c r="O608">
        <v>0</v>
      </c>
      <c r="P608">
        <v>1</v>
      </c>
      <c r="Q608" t="s">
        <v>7</v>
      </c>
    </row>
    <row r="609" spans="1:17">
      <c r="A609" t="s">
        <v>1021</v>
      </c>
      <c r="B609" t="s">
        <v>965</v>
      </c>
      <c r="C609">
        <v>0</v>
      </c>
      <c r="E609" t="s">
        <v>979</v>
      </c>
      <c r="F609" t="s">
        <v>1052</v>
      </c>
      <c r="G609" t="s">
        <v>961</v>
      </c>
      <c r="H609">
        <v>1.5960000000000001</v>
      </c>
      <c r="K609">
        <v>107866086</v>
      </c>
      <c r="L609" s="2">
        <v>45565</v>
      </c>
      <c r="M609">
        <v>30</v>
      </c>
      <c r="N609">
        <v>1</v>
      </c>
      <c r="O609">
        <v>8</v>
      </c>
      <c r="P609">
        <v>1</v>
      </c>
      <c r="Q609" t="s">
        <v>7</v>
      </c>
    </row>
    <row r="610" spans="1:17">
      <c r="A610" t="s">
        <v>1021</v>
      </c>
      <c r="B610" t="s">
        <v>965</v>
      </c>
      <c r="C610">
        <v>0</v>
      </c>
      <c r="E610" t="s">
        <v>979</v>
      </c>
      <c r="F610" t="s">
        <v>1052</v>
      </c>
      <c r="G610" t="s">
        <v>961</v>
      </c>
      <c r="H610">
        <v>1.5960000000000001</v>
      </c>
      <c r="K610">
        <v>108304197</v>
      </c>
      <c r="L610" s="2">
        <v>45973</v>
      </c>
      <c r="M610">
        <v>30</v>
      </c>
      <c r="N610">
        <v>1</v>
      </c>
      <c r="O610">
        <v>8</v>
      </c>
      <c r="P610">
        <v>4</v>
      </c>
      <c r="Q610" t="s">
        <v>7</v>
      </c>
    </row>
    <row r="611" spans="1:17">
      <c r="A611" t="s">
        <v>1021</v>
      </c>
      <c r="B611" t="s">
        <v>965</v>
      </c>
      <c r="C611">
        <v>0</v>
      </c>
      <c r="E611" t="s">
        <v>979</v>
      </c>
      <c r="F611" t="s">
        <v>1054</v>
      </c>
      <c r="G611" t="s">
        <v>961</v>
      </c>
      <c r="H611">
        <v>1.5960000000000001</v>
      </c>
      <c r="K611">
        <v>106838564</v>
      </c>
      <c r="L611" s="2">
        <v>44582</v>
      </c>
      <c r="M611">
        <v>2</v>
      </c>
      <c r="N611">
        <v>4</v>
      </c>
      <c r="O611">
        <v>7</v>
      </c>
      <c r="P611">
        <v>4</v>
      </c>
      <c r="Q611" t="s">
        <v>7</v>
      </c>
    </row>
    <row r="612" spans="1:17">
      <c r="A612" t="s">
        <v>1021</v>
      </c>
      <c r="B612" t="s">
        <v>965</v>
      </c>
      <c r="C612">
        <v>0</v>
      </c>
      <c r="E612" t="s">
        <v>979</v>
      </c>
      <c r="F612" t="s">
        <v>1054</v>
      </c>
      <c r="G612" t="s">
        <v>961</v>
      </c>
      <c r="H612">
        <v>1.5960000000000001</v>
      </c>
      <c r="K612">
        <v>107502022</v>
      </c>
      <c r="L612" s="2">
        <v>45224</v>
      </c>
      <c r="M612">
        <v>17</v>
      </c>
      <c r="N612">
        <v>1</v>
      </c>
      <c r="O612">
        <v>1</v>
      </c>
      <c r="P612">
        <v>1</v>
      </c>
      <c r="Q612" t="s">
        <v>7</v>
      </c>
    </row>
    <row r="613" spans="1:17">
      <c r="A613" t="s">
        <v>1021</v>
      </c>
      <c r="B613" t="s">
        <v>965</v>
      </c>
      <c r="C613">
        <v>0</v>
      </c>
      <c r="E613" t="s">
        <v>979</v>
      </c>
      <c r="F613" t="s">
        <v>1054</v>
      </c>
      <c r="G613" t="s">
        <v>961</v>
      </c>
      <c r="H613">
        <v>1.5960000000000001</v>
      </c>
      <c r="K613">
        <v>105611575</v>
      </c>
      <c r="L613" s="2">
        <v>43354</v>
      </c>
      <c r="M613">
        <v>21</v>
      </c>
      <c r="N613">
        <v>2</v>
      </c>
      <c r="O613">
        <v>2</v>
      </c>
      <c r="P613">
        <v>4</v>
      </c>
      <c r="Q613" t="s">
        <v>3</v>
      </c>
    </row>
    <row r="614" spans="1:17">
      <c r="A614" t="s">
        <v>1021</v>
      </c>
      <c r="B614" t="s">
        <v>965</v>
      </c>
      <c r="C614">
        <v>0</v>
      </c>
      <c r="E614" t="s">
        <v>979</v>
      </c>
      <c r="F614" t="s">
        <v>1054</v>
      </c>
      <c r="G614" t="s">
        <v>961</v>
      </c>
      <c r="H614">
        <v>1.5960000000000001</v>
      </c>
      <c r="K614">
        <v>105669430</v>
      </c>
      <c r="L614" s="2">
        <v>43399</v>
      </c>
      <c r="M614">
        <v>21</v>
      </c>
      <c r="N614">
        <v>2</v>
      </c>
      <c r="O614">
        <v>7</v>
      </c>
      <c r="P614">
        <v>1</v>
      </c>
      <c r="Q614" t="s">
        <v>7</v>
      </c>
    </row>
    <row r="615" spans="1:17">
      <c r="A615" t="s">
        <v>1021</v>
      </c>
      <c r="B615" t="s">
        <v>965</v>
      </c>
      <c r="C615">
        <v>0</v>
      </c>
      <c r="E615" t="s">
        <v>979</v>
      </c>
      <c r="F615" t="s">
        <v>1054</v>
      </c>
      <c r="G615" t="s">
        <v>961</v>
      </c>
      <c r="H615">
        <v>1.5960000000000001</v>
      </c>
      <c r="K615">
        <v>105881669</v>
      </c>
      <c r="L615" s="2">
        <v>43592</v>
      </c>
      <c r="M615">
        <v>21</v>
      </c>
      <c r="N615">
        <v>1</v>
      </c>
      <c r="O615">
        <v>7</v>
      </c>
      <c r="P615">
        <v>1</v>
      </c>
      <c r="Q615" t="s">
        <v>7</v>
      </c>
    </row>
    <row r="616" spans="1:17">
      <c r="A616" t="s">
        <v>1021</v>
      </c>
      <c r="B616" t="s">
        <v>965</v>
      </c>
      <c r="C616">
        <v>0</v>
      </c>
      <c r="E616" t="s">
        <v>979</v>
      </c>
      <c r="F616" t="s">
        <v>1054</v>
      </c>
      <c r="G616" t="s">
        <v>961</v>
      </c>
      <c r="H616">
        <v>1.5960000000000001</v>
      </c>
      <c r="K616">
        <v>107011023</v>
      </c>
      <c r="L616" s="2">
        <v>44752</v>
      </c>
      <c r="M616">
        <v>21</v>
      </c>
      <c r="N616">
        <v>2</v>
      </c>
      <c r="O616">
        <v>7</v>
      </c>
      <c r="P616">
        <v>1</v>
      </c>
      <c r="Q616" t="s">
        <v>7</v>
      </c>
    </row>
    <row r="617" spans="1:17">
      <c r="A617" t="s">
        <v>1021</v>
      </c>
      <c r="B617" t="s">
        <v>965</v>
      </c>
      <c r="C617">
        <v>0</v>
      </c>
      <c r="E617" t="s">
        <v>979</v>
      </c>
      <c r="F617" t="s">
        <v>1054</v>
      </c>
      <c r="G617" t="s">
        <v>961</v>
      </c>
      <c r="H617">
        <v>1.5960000000000001</v>
      </c>
      <c r="K617">
        <v>107719790</v>
      </c>
      <c r="L617" s="2">
        <v>45427</v>
      </c>
      <c r="M617">
        <v>21</v>
      </c>
      <c r="N617">
        <v>2</v>
      </c>
      <c r="O617">
        <v>1</v>
      </c>
      <c r="P617">
        <v>1</v>
      </c>
      <c r="Q617" t="s">
        <v>7</v>
      </c>
    </row>
    <row r="618" spans="1:17">
      <c r="A618" t="s">
        <v>1021</v>
      </c>
      <c r="B618" t="s">
        <v>965</v>
      </c>
      <c r="C618">
        <v>0</v>
      </c>
      <c r="E618" t="s">
        <v>979</v>
      </c>
      <c r="F618" t="s">
        <v>1054</v>
      </c>
      <c r="G618" t="s">
        <v>961</v>
      </c>
      <c r="H618">
        <v>1.5960000000000001</v>
      </c>
      <c r="K618">
        <v>106887096</v>
      </c>
      <c r="L618" s="2">
        <v>44632</v>
      </c>
      <c r="M618">
        <v>23</v>
      </c>
      <c r="N618">
        <v>1</v>
      </c>
      <c r="O618">
        <v>2</v>
      </c>
      <c r="P618">
        <v>1</v>
      </c>
      <c r="Q618" t="s">
        <v>7</v>
      </c>
    </row>
    <row r="619" spans="1:17">
      <c r="A619" t="s">
        <v>1021</v>
      </c>
      <c r="B619" t="s">
        <v>965</v>
      </c>
      <c r="C619">
        <v>0</v>
      </c>
      <c r="D619" t="s">
        <v>762</v>
      </c>
      <c r="E619" t="s">
        <v>979</v>
      </c>
      <c r="F619" t="s">
        <v>1054</v>
      </c>
      <c r="G619" t="s">
        <v>961</v>
      </c>
      <c r="H619">
        <v>1.5960000000000001</v>
      </c>
      <c r="K619">
        <v>107034777</v>
      </c>
      <c r="L619" s="2">
        <v>44776</v>
      </c>
      <c r="M619">
        <v>30</v>
      </c>
      <c r="N619">
        <v>1</v>
      </c>
      <c r="O619">
        <v>1</v>
      </c>
      <c r="P619">
        <v>1</v>
      </c>
      <c r="Q619" t="s">
        <v>7</v>
      </c>
    </row>
    <row r="620" spans="1:17">
      <c r="A620" t="s">
        <v>1021</v>
      </c>
      <c r="B620" t="s">
        <v>965</v>
      </c>
      <c r="C620">
        <v>0</v>
      </c>
      <c r="E620" t="s">
        <v>979</v>
      </c>
      <c r="F620" t="s">
        <v>1054</v>
      </c>
      <c r="G620" t="s">
        <v>961</v>
      </c>
      <c r="H620">
        <v>1.5960000000000001</v>
      </c>
      <c r="K620">
        <v>106802326</v>
      </c>
      <c r="L620" s="2">
        <v>44496</v>
      </c>
      <c r="M620">
        <v>30</v>
      </c>
      <c r="N620">
        <v>1</v>
      </c>
      <c r="O620">
        <v>7</v>
      </c>
      <c r="P620">
        <v>1</v>
      </c>
      <c r="Q620" t="s">
        <v>7</v>
      </c>
    </row>
    <row r="621" spans="1:17">
      <c r="A621" t="s">
        <v>1021</v>
      </c>
      <c r="B621" t="s">
        <v>965</v>
      </c>
      <c r="C621">
        <v>0</v>
      </c>
      <c r="E621" t="s">
        <v>979</v>
      </c>
      <c r="F621" t="s">
        <v>1054</v>
      </c>
      <c r="G621" t="s">
        <v>961</v>
      </c>
      <c r="H621">
        <v>1.5960000000000001</v>
      </c>
      <c r="K621">
        <v>107487853</v>
      </c>
      <c r="L621" s="2">
        <v>45211</v>
      </c>
      <c r="M621">
        <v>30</v>
      </c>
      <c r="N621">
        <v>1</v>
      </c>
      <c r="O621">
        <v>8</v>
      </c>
      <c r="P621">
        <v>1</v>
      </c>
      <c r="Q621" t="s">
        <v>7</v>
      </c>
    </row>
    <row r="622" spans="1:17">
      <c r="A622" t="s">
        <v>1021</v>
      </c>
      <c r="B622" t="s">
        <v>965</v>
      </c>
      <c r="C622">
        <v>0</v>
      </c>
      <c r="E622" t="s">
        <v>979</v>
      </c>
      <c r="F622" t="s">
        <v>1054</v>
      </c>
      <c r="G622" t="s">
        <v>961</v>
      </c>
      <c r="H622">
        <v>1.5960000000000001</v>
      </c>
      <c r="K622">
        <v>107564795</v>
      </c>
      <c r="L622" s="2">
        <v>45265</v>
      </c>
      <c r="M622">
        <v>30</v>
      </c>
      <c r="N622">
        <v>1</v>
      </c>
      <c r="O622">
        <v>7</v>
      </c>
      <c r="P622">
        <v>1</v>
      </c>
      <c r="Q622" t="s">
        <v>7</v>
      </c>
    </row>
    <row r="623" spans="1:17">
      <c r="A623" t="s">
        <v>1021</v>
      </c>
      <c r="B623" t="s">
        <v>965</v>
      </c>
      <c r="C623">
        <v>0</v>
      </c>
      <c r="E623" t="s">
        <v>979</v>
      </c>
      <c r="F623" t="s">
        <v>1054</v>
      </c>
      <c r="G623" t="s">
        <v>961</v>
      </c>
      <c r="H623">
        <v>1.5960000000000001</v>
      </c>
      <c r="K623">
        <v>108550627</v>
      </c>
      <c r="L623" s="2">
        <v>46209</v>
      </c>
      <c r="M623">
        <v>31</v>
      </c>
      <c r="N623">
        <v>1</v>
      </c>
      <c r="O623">
        <v>20</v>
      </c>
      <c r="P623">
        <v>1</v>
      </c>
      <c r="Q623" t="s">
        <v>7</v>
      </c>
    </row>
    <row r="624" spans="1:17">
      <c r="A624" t="s">
        <v>1021</v>
      </c>
      <c r="B624" t="s">
        <v>965</v>
      </c>
      <c r="C624">
        <v>0</v>
      </c>
      <c r="E624" t="s">
        <v>979</v>
      </c>
      <c r="F624" t="s">
        <v>1071</v>
      </c>
      <c r="G624" t="s">
        <v>961</v>
      </c>
      <c r="H624">
        <v>1.5960000000000001</v>
      </c>
      <c r="K624">
        <v>107688138</v>
      </c>
      <c r="L624" s="2">
        <v>45397</v>
      </c>
      <c r="M624">
        <v>30</v>
      </c>
      <c r="N624">
        <v>1</v>
      </c>
      <c r="O624">
        <v>7</v>
      </c>
      <c r="P624">
        <v>1</v>
      </c>
      <c r="Q624" t="s">
        <v>7</v>
      </c>
    </row>
    <row r="625" spans="1:17">
      <c r="A625" t="s">
        <v>1021</v>
      </c>
      <c r="B625" t="s">
        <v>965</v>
      </c>
      <c r="C625">
        <v>0</v>
      </c>
      <c r="E625" t="s">
        <v>979</v>
      </c>
      <c r="G625" t="s">
        <v>961</v>
      </c>
      <c r="H625">
        <v>1.5960000000000001</v>
      </c>
      <c r="K625">
        <v>108339105</v>
      </c>
      <c r="L625" s="2">
        <v>46007</v>
      </c>
      <c r="M625">
        <v>30</v>
      </c>
      <c r="N625">
        <v>1</v>
      </c>
      <c r="O625">
        <v>0</v>
      </c>
      <c r="P625">
        <v>4</v>
      </c>
      <c r="Q625" t="s">
        <v>7</v>
      </c>
    </row>
    <row r="626" spans="1:17">
      <c r="A626" t="s">
        <v>1021</v>
      </c>
      <c r="B626" t="s">
        <v>965</v>
      </c>
      <c r="C626">
        <v>1E-3</v>
      </c>
      <c r="D626" t="s">
        <v>756</v>
      </c>
      <c r="E626" t="s">
        <v>979</v>
      </c>
      <c r="F626" t="s">
        <v>1137</v>
      </c>
      <c r="G626" t="s">
        <v>961</v>
      </c>
      <c r="H626">
        <v>1.597</v>
      </c>
      <c r="K626">
        <v>106846544</v>
      </c>
      <c r="L626" s="2">
        <v>44590</v>
      </c>
      <c r="M626">
        <v>21</v>
      </c>
      <c r="N626">
        <v>1</v>
      </c>
      <c r="O626">
        <v>7</v>
      </c>
      <c r="P626">
        <v>4</v>
      </c>
      <c r="Q626" t="s">
        <v>7</v>
      </c>
    </row>
    <row r="627" spans="1:17">
      <c r="A627" t="s">
        <v>1021</v>
      </c>
      <c r="B627" t="s">
        <v>965</v>
      </c>
      <c r="C627">
        <v>2.8000000000000001E-2</v>
      </c>
      <c r="D627" t="s">
        <v>756</v>
      </c>
      <c r="E627" t="s">
        <v>979</v>
      </c>
      <c r="F627" t="s">
        <v>1054</v>
      </c>
      <c r="G627" t="s">
        <v>961</v>
      </c>
      <c r="H627">
        <v>1.6240000000000001</v>
      </c>
      <c r="K627">
        <v>106521356</v>
      </c>
      <c r="L627" s="2">
        <v>44232</v>
      </c>
      <c r="M627">
        <v>30</v>
      </c>
      <c r="N627">
        <v>2</v>
      </c>
      <c r="P627">
        <v>2</v>
      </c>
      <c r="Q627" t="s">
        <v>7</v>
      </c>
    </row>
    <row r="628" spans="1:17">
      <c r="A628" t="s">
        <v>1021</v>
      </c>
      <c r="B628" t="s">
        <v>965</v>
      </c>
      <c r="C628">
        <v>2.8000000000000001E-2</v>
      </c>
      <c r="D628" t="s">
        <v>762</v>
      </c>
      <c r="E628" t="s">
        <v>979</v>
      </c>
      <c r="F628" t="s">
        <v>979</v>
      </c>
      <c r="G628" t="s">
        <v>961</v>
      </c>
      <c r="H628">
        <v>1.6240000000000001</v>
      </c>
      <c r="K628">
        <v>108189366</v>
      </c>
      <c r="L628" s="2">
        <v>45871</v>
      </c>
      <c r="M628">
        <v>21</v>
      </c>
      <c r="N628">
        <v>2</v>
      </c>
      <c r="O628">
        <v>1</v>
      </c>
      <c r="P628">
        <v>1</v>
      </c>
      <c r="Q628" t="s">
        <v>7</v>
      </c>
    </row>
    <row r="629" spans="1:17">
      <c r="A629" t="s">
        <v>1021</v>
      </c>
      <c r="B629" t="s">
        <v>965</v>
      </c>
      <c r="C629">
        <v>4.1000000000000002E-2</v>
      </c>
      <c r="D629" t="s">
        <v>756</v>
      </c>
      <c r="E629" t="s">
        <v>979</v>
      </c>
      <c r="F629" t="s">
        <v>1033</v>
      </c>
      <c r="G629" t="s">
        <v>961</v>
      </c>
      <c r="H629">
        <v>1.637</v>
      </c>
      <c r="K629">
        <v>107409534</v>
      </c>
      <c r="L629" s="2">
        <v>45136</v>
      </c>
      <c r="M629">
        <v>30</v>
      </c>
      <c r="N629">
        <v>1</v>
      </c>
      <c r="O629">
        <v>0</v>
      </c>
      <c r="P629">
        <v>1</v>
      </c>
      <c r="Q629" t="s">
        <v>3</v>
      </c>
    </row>
    <row r="630" spans="1:17">
      <c r="A630" t="s">
        <v>1021</v>
      </c>
      <c r="B630" t="s">
        <v>965</v>
      </c>
      <c r="C630">
        <v>5.3999999999999999E-2</v>
      </c>
      <c r="D630" t="s">
        <v>758</v>
      </c>
      <c r="E630" t="s">
        <v>1054</v>
      </c>
      <c r="F630" t="s">
        <v>979</v>
      </c>
      <c r="G630" t="s">
        <v>961</v>
      </c>
      <c r="H630">
        <v>1.669</v>
      </c>
      <c r="K630">
        <v>106271943</v>
      </c>
      <c r="L630" s="2">
        <v>43959</v>
      </c>
      <c r="M630">
        <v>30</v>
      </c>
      <c r="N630">
        <v>2</v>
      </c>
      <c r="O630">
        <v>7</v>
      </c>
      <c r="P630">
        <v>1</v>
      </c>
      <c r="Q630" t="s">
        <v>8</v>
      </c>
    </row>
    <row r="631" spans="1:17">
      <c r="A631" t="s">
        <v>1021</v>
      </c>
      <c r="B631" t="s">
        <v>965</v>
      </c>
      <c r="C631">
        <v>7.5999999999999998E-2</v>
      </c>
      <c r="D631" t="s">
        <v>762</v>
      </c>
      <c r="E631" t="s">
        <v>979</v>
      </c>
      <c r="F631" t="s">
        <v>1027</v>
      </c>
      <c r="G631" t="s">
        <v>961</v>
      </c>
      <c r="H631">
        <v>1.6719999999999999</v>
      </c>
      <c r="K631">
        <v>108546778</v>
      </c>
      <c r="L631" s="2">
        <v>46204</v>
      </c>
      <c r="M631">
        <v>28</v>
      </c>
      <c r="N631">
        <v>1</v>
      </c>
      <c r="O631">
        <v>0</v>
      </c>
      <c r="P631">
        <v>1</v>
      </c>
      <c r="Q631" t="s">
        <v>7</v>
      </c>
    </row>
    <row r="632" spans="1:17">
      <c r="A632" t="s">
        <v>1021</v>
      </c>
      <c r="B632" t="s">
        <v>965</v>
      </c>
      <c r="C632">
        <v>7.5999999999999998E-2</v>
      </c>
      <c r="D632" t="s">
        <v>762</v>
      </c>
      <c r="E632" t="s">
        <v>979</v>
      </c>
      <c r="F632" t="s">
        <v>1054</v>
      </c>
      <c r="G632" t="s">
        <v>961</v>
      </c>
      <c r="H632">
        <v>1.6719999999999999</v>
      </c>
      <c r="K632">
        <v>108259953</v>
      </c>
      <c r="L632" s="2">
        <v>45940</v>
      </c>
      <c r="M632">
        <v>21</v>
      </c>
      <c r="N632">
        <v>1</v>
      </c>
      <c r="O632">
        <v>0</v>
      </c>
      <c r="P632">
        <v>1</v>
      </c>
      <c r="Q632" t="s">
        <v>7</v>
      </c>
    </row>
    <row r="633" spans="1:17">
      <c r="A633" t="s">
        <v>1021</v>
      </c>
      <c r="B633" t="s">
        <v>965</v>
      </c>
      <c r="C633">
        <v>3.2000000000000001E-2</v>
      </c>
      <c r="D633" t="s">
        <v>765</v>
      </c>
      <c r="E633" t="s">
        <v>1054</v>
      </c>
      <c r="F633" t="s">
        <v>979</v>
      </c>
      <c r="G633" t="s">
        <v>961</v>
      </c>
      <c r="H633">
        <v>1.6910000000000001</v>
      </c>
      <c r="K633">
        <v>108226112</v>
      </c>
      <c r="L633" s="2">
        <v>45910</v>
      </c>
      <c r="M633">
        <v>28</v>
      </c>
      <c r="N633">
        <v>1</v>
      </c>
      <c r="O633">
        <v>0</v>
      </c>
      <c r="P633">
        <v>2</v>
      </c>
      <c r="Q633" t="s">
        <v>7</v>
      </c>
    </row>
    <row r="634" spans="1:17">
      <c r="A634" t="s">
        <v>1021</v>
      </c>
      <c r="B634" t="s">
        <v>965</v>
      </c>
      <c r="C634">
        <v>8.9999999999999993E-3</v>
      </c>
      <c r="D634" t="s">
        <v>758</v>
      </c>
      <c r="E634" t="s">
        <v>1054</v>
      </c>
      <c r="F634" t="s">
        <v>979</v>
      </c>
      <c r="G634" t="s">
        <v>961</v>
      </c>
      <c r="H634">
        <v>1.714</v>
      </c>
      <c r="K634">
        <v>105107758</v>
      </c>
      <c r="L634" s="2">
        <v>42863</v>
      </c>
      <c r="M634">
        <v>21</v>
      </c>
      <c r="N634">
        <v>10</v>
      </c>
      <c r="O634">
        <v>0</v>
      </c>
      <c r="P634">
        <v>1</v>
      </c>
      <c r="Q634" t="s">
        <v>7</v>
      </c>
    </row>
    <row r="635" spans="1:17">
      <c r="A635" t="s">
        <v>1021</v>
      </c>
      <c r="B635" t="s">
        <v>965</v>
      </c>
      <c r="C635">
        <v>3.0000000000000001E-3</v>
      </c>
      <c r="D635" t="s">
        <v>758</v>
      </c>
      <c r="E635" t="s">
        <v>1054</v>
      </c>
      <c r="F635" t="s">
        <v>1052</v>
      </c>
      <c r="G635" t="s">
        <v>961</v>
      </c>
      <c r="H635">
        <v>1.72</v>
      </c>
      <c r="K635">
        <v>107394861</v>
      </c>
      <c r="L635" s="2">
        <v>45120</v>
      </c>
      <c r="M635">
        <v>28</v>
      </c>
      <c r="N635">
        <v>1</v>
      </c>
      <c r="O635">
        <v>2</v>
      </c>
      <c r="P635">
        <v>1</v>
      </c>
      <c r="Q635" t="s">
        <v>7</v>
      </c>
    </row>
    <row r="636" spans="1:17">
      <c r="A636" t="s">
        <v>1021</v>
      </c>
      <c r="B636" t="s">
        <v>1054</v>
      </c>
      <c r="C636">
        <v>0</v>
      </c>
      <c r="E636" t="s">
        <v>965</v>
      </c>
      <c r="F636" t="s">
        <v>1032</v>
      </c>
      <c r="G636" t="s">
        <v>961</v>
      </c>
      <c r="H636">
        <v>1.7230000000000001</v>
      </c>
      <c r="K636">
        <v>105042553</v>
      </c>
      <c r="L636" s="2">
        <v>42796</v>
      </c>
      <c r="M636">
        <v>21</v>
      </c>
      <c r="N636">
        <v>1</v>
      </c>
      <c r="O636">
        <v>8</v>
      </c>
      <c r="P636">
        <v>1</v>
      </c>
      <c r="Q636" t="s">
        <v>7</v>
      </c>
    </row>
    <row r="637" spans="1:17">
      <c r="A637" t="s">
        <v>1021</v>
      </c>
      <c r="B637" t="s">
        <v>1054</v>
      </c>
      <c r="C637">
        <v>0</v>
      </c>
      <c r="E637" t="s">
        <v>965</v>
      </c>
      <c r="F637" t="s">
        <v>1040</v>
      </c>
      <c r="G637" t="s">
        <v>961</v>
      </c>
      <c r="H637">
        <v>1.7230000000000001</v>
      </c>
      <c r="K637">
        <v>108066279</v>
      </c>
      <c r="L637" s="2">
        <v>45749</v>
      </c>
      <c r="M637">
        <v>21</v>
      </c>
      <c r="N637">
        <v>1</v>
      </c>
      <c r="O637">
        <v>8</v>
      </c>
      <c r="P637">
        <v>1</v>
      </c>
      <c r="Q637" t="s">
        <v>7</v>
      </c>
    </row>
    <row r="638" spans="1:17">
      <c r="A638" t="s">
        <v>1021</v>
      </c>
      <c r="B638" t="s">
        <v>1054</v>
      </c>
      <c r="C638">
        <v>0</v>
      </c>
      <c r="E638" t="s">
        <v>965</v>
      </c>
      <c r="F638" t="s">
        <v>1040</v>
      </c>
      <c r="G638" t="s">
        <v>961</v>
      </c>
      <c r="H638">
        <v>1.7230000000000001</v>
      </c>
      <c r="K638">
        <v>108260126</v>
      </c>
      <c r="L638" s="2">
        <v>45940</v>
      </c>
      <c r="M638">
        <v>30</v>
      </c>
      <c r="N638">
        <v>1</v>
      </c>
      <c r="O638">
        <v>8</v>
      </c>
      <c r="P638">
        <v>1</v>
      </c>
      <c r="Q638" t="s">
        <v>7</v>
      </c>
    </row>
    <row r="639" spans="1:17">
      <c r="A639" t="s">
        <v>1021</v>
      </c>
      <c r="B639" t="s">
        <v>965</v>
      </c>
      <c r="C639">
        <v>0</v>
      </c>
      <c r="D639" t="s">
        <v>6</v>
      </c>
      <c r="E639" t="s">
        <v>1054</v>
      </c>
      <c r="F639" t="s">
        <v>1032</v>
      </c>
      <c r="G639" t="s">
        <v>961</v>
      </c>
      <c r="H639">
        <v>1.7230000000000001</v>
      </c>
      <c r="K639">
        <v>107474941</v>
      </c>
      <c r="L639" s="2">
        <v>45201</v>
      </c>
      <c r="M639">
        <v>21</v>
      </c>
      <c r="N639">
        <v>1</v>
      </c>
      <c r="O639">
        <v>0</v>
      </c>
      <c r="P639">
        <v>1</v>
      </c>
      <c r="Q639" t="s">
        <v>7</v>
      </c>
    </row>
    <row r="640" spans="1:17">
      <c r="A640" t="s">
        <v>1021</v>
      </c>
      <c r="B640" t="s">
        <v>965</v>
      </c>
      <c r="C640">
        <v>0</v>
      </c>
      <c r="E640" t="s">
        <v>1054</v>
      </c>
      <c r="F640" t="s">
        <v>1032</v>
      </c>
      <c r="G640" t="s">
        <v>961</v>
      </c>
      <c r="H640">
        <v>1.7230000000000001</v>
      </c>
      <c r="K640">
        <v>107094839</v>
      </c>
      <c r="L640" s="2">
        <v>44833</v>
      </c>
      <c r="M640">
        <v>28</v>
      </c>
      <c r="N640">
        <v>1</v>
      </c>
      <c r="O640">
        <v>0</v>
      </c>
      <c r="P640">
        <v>1</v>
      </c>
      <c r="Q640" t="s">
        <v>7</v>
      </c>
    </row>
    <row r="641" spans="1:17">
      <c r="A641" t="s">
        <v>1021</v>
      </c>
      <c r="B641" t="s">
        <v>965</v>
      </c>
      <c r="C641">
        <v>0</v>
      </c>
      <c r="D641" t="s">
        <v>757</v>
      </c>
      <c r="E641" t="s">
        <v>1054</v>
      </c>
      <c r="F641" t="s">
        <v>1032</v>
      </c>
      <c r="G641" t="s">
        <v>961</v>
      </c>
      <c r="H641">
        <v>1.7230000000000001</v>
      </c>
      <c r="K641">
        <v>107324068</v>
      </c>
      <c r="L641" s="2">
        <v>45050</v>
      </c>
      <c r="M641">
        <v>30</v>
      </c>
      <c r="N641">
        <v>1</v>
      </c>
      <c r="O641">
        <v>8</v>
      </c>
      <c r="P641">
        <v>1</v>
      </c>
      <c r="Q641" t="s">
        <v>7</v>
      </c>
    </row>
    <row r="642" spans="1:17">
      <c r="A642" t="s">
        <v>1021</v>
      </c>
      <c r="B642" t="s">
        <v>965</v>
      </c>
      <c r="C642">
        <v>5.0000000000000001E-3</v>
      </c>
      <c r="D642" t="s">
        <v>756</v>
      </c>
      <c r="E642" t="s">
        <v>1054</v>
      </c>
      <c r="F642" t="s">
        <v>1032</v>
      </c>
      <c r="G642" t="s">
        <v>961</v>
      </c>
      <c r="H642">
        <v>1.728</v>
      </c>
      <c r="K642">
        <v>106211351</v>
      </c>
      <c r="L642" s="2">
        <v>43883</v>
      </c>
      <c r="M642">
        <v>30</v>
      </c>
      <c r="N642">
        <v>1</v>
      </c>
      <c r="O642">
        <v>0</v>
      </c>
      <c r="P642">
        <v>1</v>
      </c>
      <c r="Q642" t="s">
        <v>7</v>
      </c>
    </row>
    <row r="643" spans="1:17">
      <c r="A643" t="s">
        <v>1021</v>
      </c>
      <c r="B643" t="s">
        <v>965</v>
      </c>
      <c r="C643">
        <v>8.9999999999999993E-3</v>
      </c>
      <c r="D643" t="s">
        <v>756</v>
      </c>
      <c r="E643" t="s">
        <v>1054</v>
      </c>
      <c r="F643" t="s">
        <v>1032</v>
      </c>
      <c r="G643" t="s">
        <v>961</v>
      </c>
      <c r="H643">
        <v>1.732</v>
      </c>
      <c r="K643">
        <v>106972617</v>
      </c>
      <c r="L643" s="2">
        <v>44712</v>
      </c>
      <c r="M643">
        <v>21</v>
      </c>
      <c r="N643">
        <v>1</v>
      </c>
      <c r="O643">
        <v>0</v>
      </c>
      <c r="P643">
        <v>1</v>
      </c>
      <c r="Q643" t="s">
        <v>3</v>
      </c>
    </row>
    <row r="644" spans="1:17">
      <c r="A644" t="s">
        <v>1021</v>
      </c>
      <c r="B644" t="s">
        <v>965</v>
      </c>
      <c r="C644">
        <v>8.9999999999999993E-3</v>
      </c>
      <c r="D644" t="s">
        <v>762</v>
      </c>
      <c r="E644" t="s">
        <v>1054</v>
      </c>
      <c r="F644" t="s">
        <v>1032</v>
      </c>
      <c r="G644" t="s">
        <v>961</v>
      </c>
      <c r="H644">
        <v>1.732</v>
      </c>
      <c r="K644">
        <v>107615077</v>
      </c>
      <c r="L644" s="2">
        <v>45327</v>
      </c>
      <c r="M644">
        <v>21</v>
      </c>
      <c r="N644">
        <v>1</v>
      </c>
      <c r="O644">
        <v>0</v>
      </c>
      <c r="P644">
        <v>1</v>
      </c>
      <c r="Q644" t="s">
        <v>7</v>
      </c>
    </row>
    <row r="645" spans="1:17">
      <c r="A645" t="s">
        <v>1021</v>
      </c>
      <c r="B645" t="s">
        <v>965</v>
      </c>
      <c r="C645">
        <v>8.9999999999999993E-3</v>
      </c>
      <c r="D645" t="s">
        <v>762</v>
      </c>
      <c r="E645" t="s">
        <v>1054</v>
      </c>
      <c r="F645" t="s">
        <v>1032</v>
      </c>
      <c r="G645" t="s">
        <v>961</v>
      </c>
      <c r="H645">
        <v>1.732</v>
      </c>
      <c r="K645">
        <v>108538290</v>
      </c>
      <c r="L645" s="2">
        <v>46196</v>
      </c>
      <c r="M645">
        <v>28</v>
      </c>
      <c r="N645">
        <v>1</v>
      </c>
      <c r="O645">
        <v>0</v>
      </c>
      <c r="P645">
        <v>1</v>
      </c>
      <c r="Q645" t="s">
        <v>7</v>
      </c>
    </row>
    <row r="646" spans="1:17">
      <c r="A646" t="s">
        <v>1021</v>
      </c>
      <c r="B646" t="s">
        <v>965</v>
      </c>
      <c r="C646">
        <v>1.2E-2</v>
      </c>
      <c r="D646" t="s">
        <v>756</v>
      </c>
      <c r="E646" t="s">
        <v>1054</v>
      </c>
      <c r="F646" t="s">
        <v>1032</v>
      </c>
      <c r="G646" t="s">
        <v>961</v>
      </c>
      <c r="H646">
        <v>1.7350000000000001</v>
      </c>
      <c r="K646">
        <v>107847003</v>
      </c>
      <c r="L646" s="2">
        <v>45547</v>
      </c>
      <c r="M646">
        <v>24</v>
      </c>
      <c r="N646">
        <v>1</v>
      </c>
      <c r="O646">
        <v>0</v>
      </c>
      <c r="P646">
        <v>1</v>
      </c>
      <c r="Q646" t="s">
        <v>7</v>
      </c>
    </row>
    <row r="647" spans="1:17">
      <c r="A647" t="s">
        <v>1021</v>
      </c>
      <c r="B647" t="s">
        <v>965</v>
      </c>
      <c r="C647">
        <v>1.9E-2</v>
      </c>
      <c r="D647" t="s">
        <v>762</v>
      </c>
      <c r="E647" t="s">
        <v>1054</v>
      </c>
      <c r="F647" t="s">
        <v>1032</v>
      </c>
      <c r="G647" t="s">
        <v>961</v>
      </c>
      <c r="H647">
        <v>1.742</v>
      </c>
      <c r="K647">
        <v>106802460</v>
      </c>
      <c r="L647" s="2">
        <v>44543</v>
      </c>
      <c r="M647">
        <v>30</v>
      </c>
      <c r="N647">
        <v>1</v>
      </c>
      <c r="O647">
        <v>0</v>
      </c>
      <c r="P647">
        <v>2</v>
      </c>
      <c r="Q647" t="s">
        <v>7</v>
      </c>
    </row>
    <row r="648" spans="1:17">
      <c r="A648" t="s">
        <v>1021</v>
      </c>
      <c r="B648" t="s">
        <v>965</v>
      </c>
      <c r="C648">
        <v>2.4E-2</v>
      </c>
      <c r="D648" t="s">
        <v>756</v>
      </c>
      <c r="E648" t="s">
        <v>1054</v>
      </c>
      <c r="F648" t="s">
        <v>1032</v>
      </c>
      <c r="G648" t="s">
        <v>961</v>
      </c>
      <c r="H648">
        <v>1.7470000000000001</v>
      </c>
      <c r="K648">
        <v>105671767</v>
      </c>
      <c r="L648" s="2">
        <v>43399</v>
      </c>
      <c r="M648">
        <v>30</v>
      </c>
      <c r="N648">
        <v>2</v>
      </c>
      <c r="O648">
        <v>0</v>
      </c>
      <c r="P648">
        <v>1</v>
      </c>
      <c r="Q648" t="s">
        <v>7</v>
      </c>
    </row>
    <row r="649" spans="1:17">
      <c r="A649" t="s">
        <v>1021</v>
      </c>
      <c r="B649" t="s">
        <v>965</v>
      </c>
      <c r="C649">
        <v>3.7999999999999999E-2</v>
      </c>
      <c r="D649" t="s">
        <v>756</v>
      </c>
      <c r="E649" t="s">
        <v>1054</v>
      </c>
      <c r="F649" t="s">
        <v>1032</v>
      </c>
      <c r="G649" t="s">
        <v>961</v>
      </c>
      <c r="H649">
        <v>1.7609999999999999</v>
      </c>
      <c r="K649">
        <v>108373250</v>
      </c>
      <c r="L649" s="2">
        <v>46038</v>
      </c>
      <c r="M649">
        <v>30</v>
      </c>
      <c r="N649">
        <v>1</v>
      </c>
      <c r="O649">
        <v>0</v>
      </c>
      <c r="P649">
        <v>1</v>
      </c>
      <c r="Q649" t="s">
        <v>3</v>
      </c>
    </row>
    <row r="650" spans="1:17">
      <c r="A650" t="s">
        <v>1021</v>
      </c>
      <c r="B650" t="s">
        <v>965</v>
      </c>
      <c r="C650">
        <v>4.7E-2</v>
      </c>
      <c r="D650" t="s">
        <v>762</v>
      </c>
      <c r="E650" t="s">
        <v>1054</v>
      </c>
      <c r="F650" t="s">
        <v>1032</v>
      </c>
      <c r="G650" t="s">
        <v>961</v>
      </c>
      <c r="H650">
        <v>1.77</v>
      </c>
      <c r="K650">
        <v>108092197</v>
      </c>
      <c r="L650" s="2">
        <v>45775</v>
      </c>
      <c r="M650">
        <v>24</v>
      </c>
      <c r="N650">
        <v>1</v>
      </c>
      <c r="O650">
        <v>0</v>
      </c>
      <c r="P650">
        <v>1</v>
      </c>
      <c r="Q650" t="s">
        <v>3</v>
      </c>
    </row>
    <row r="651" spans="1:17">
      <c r="A651" t="s">
        <v>1021</v>
      </c>
      <c r="B651" t="s">
        <v>965</v>
      </c>
      <c r="C651">
        <v>5.1999999999999998E-2</v>
      </c>
      <c r="D651" t="s">
        <v>756</v>
      </c>
      <c r="E651" t="s">
        <v>1054</v>
      </c>
      <c r="F651" t="s">
        <v>1032</v>
      </c>
      <c r="G651" t="s">
        <v>961</v>
      </c>
      <c r="H651">
        <v>1.7749999999999999</v>
      </c>
      <c r="K651">
        <v>108192410</v>
      </c>
      <c r="L651" s="2">
        <v>45873</v>
      </c>
      <c r="M651">
        <v>21</v>
      </c>
      <c r="N651">
        <v>1</v>
      </c>
      <c r="O651">
        <v>0</v>
      </c>
      <c r="P651">
        <v>1</v>
      </c>
      <c r="Q651" t="s">
        <v>7</v>
      </c>
    </row>
    <row r="652" spans="1:17">
      <c r="A652" t="s">
        <v>1021</v>
      </c>
      <c r="B652" t="s">
        <v>965</v>
      </c>
      <c r="C652">
        <v>5.2999999999999999E-2</v>
      </c>
      <c r="D652" t="s">
        <v>756</v>
      </c>
      <c r="E652" t="s">
        <v>1054</v>
      </c>
      <c r="F652" t="s">
        <v>1032</v>
      </c>
      <c r="G652" t="s">
        <v>961</v>
      </c>
      <c r="H652">
        <v>1.776</v>
      </c>
      <c r="K652">
        <v>105233224</v>
      </c>
      <c r="L652" s="2">
        <v>42984</v>
      </c>
      <c r="M652">
        <v>23</v>
      </c>
      <c r="N652">
        <v>1</v>
      </c>
      <c r="O652">
        <v>0</v>
      </c>
      <c r="P652">
        <v>1</v>
      </c>
      <c r="Q652" t="s">
        <v>3</v>
      </c>
    </row>
    <row r="653" spans="1:17">
      <c r="A653" t="s">
        <v>1021</v>
      </c>
      <c r="B653" t="s">
        <v>965</v>
      </c>
      <c r="C653">
        <v>5.3999999999999999E-2</v>
      </c>
      <c r="D653" t="s">
        <v>758</v>
      </c>
      <c r="E653" t="s">
        <v>1032</v>
      </c>
      <c r="F653" t="s">
        <v>1105</v>
      </c>
      <c r="G653" t="s">
        <v>961</v>
      </c>
      <c r="H653">
        <v>1.7889999999999999</v>
      </c>
      <c r="K653">
        <v>105941656</v>
      </c>
      <c r="L653" s="2">
        <v>43641</v>
      </c>
      <c r="M653">
        <v>21</v>
      </c>
      <c r="N653">
        <v>1</v>
      </c>
      <c r="O653">
        <v>0</v>
      </c>
      <c r="P653">
        <v>1</v>
      </c>
      <c r="Q653" t="s">
        <v>3</v>
      </c>
    </row>
    <row r="654" spans="1:17">
      <c r="A654" t="s">
        <v>1021</v>
      </c>
      <c r="B654" t="s">
        <v>965</v>
      </c>
      <c r="C654">
        <v>7.0000000000000007E-2</v>
      </c>
      <c r="D654" t="s">
        <v>756</v>
      </c>
      <c r="E654" t="s">
        <v>1054</v>
      </c>
      <c r="F654" t="s">
        <v>1032</v>
      </c>
      <c r="G654" t="s">
        <v>961</v>
      </c>
      <c r="H654">
        <v>1.7929999999999999</v>
      </c>
      <c r="K654">
        <v>106586027</v>
      </c>
      <c r="L654" s="2">
        <v>44287</v>
      </c>
      <c r="M654">
        <v>23</v>
      </c>
      <c r="N654">
        <v>1</v>
      </c>
      <c r="P654">
        <v>1</v>
      </c>
      <c r="Q654" t="s">
        <v>3</v>
      </c>
    </row>
    <row r="655" spans="1:17">
      <c r="A655" t="s">
        <v>1021</v>
      </c>
      <c r="B655" t="s">
        <v>965</v>
      </c>
      <c r="C655">
        <v>7.0000000000000007E-2</v>
      </c>
      <c r="D655" t="s">
        <v>762</v>
      </c>
      <c r="E655" t="s">
        <v>1054</v>
      </c>
      <c r="F655" t="s">
        <v>1032</v>
      </c>
      <c r="G655" t="s">
        <v>961</v>
      </c>
      <c r="H655">
        <v>1.7929999999999999</v>
      </c>
      <c r="K655">
        <v>107618965</v>
      </c>
      <c r="L655" s="2">
        <v>45331</v>
      </c>
      <c r="M655">
        <v>24</v>
      </c>
      <c r="N655">
        <v>1</v>
      </c>
      <c r="O655">
        <v>8</v>
      </c>
      <c r="P655">
        <v>4</v>
      </c>
      <c r="Q655" t="s">
        <v>7</v>
      </c>
    </row>
    <row r="656" spans="1:17">
      <c r="A656" t="s">
        <v>1021</v>
      </c>
      <c r="B656" t="s">
        <v>965</v>
      </c>
      <c r="C656">
        <v>4.9000000000000002E-2</v>
      </c>
      <c r="D656" t="s">
        <v>758</v>
      </c>
      <c r="E656" t="s">
        <v>1032</v>
      </c>
      <c r="F656" t="s">
        <v>1035</v>
      </c>
      <c r="G656" t="s">
        <v>961</v>
      </c>
      <c r="H656">
        <v>1.794</v>
      </c>
      <c r="K656">
        <v>106510050</v>
      </c>
      <c r="L656" s="2">
        <v>44220</v>
      </c>
      <c r="M656">
        <v>1</v>
      </c>
      <c r="N656">
        <v>1</v>
      </c>
      <c r="O656">
        <v>0</v>
      </c>
      <c r="P656">
        <v>4</v>
      </c>
      <c r="Q656" t="s">
        <v>7</v>
      </c>
    </row>
    <row r="657" spans="1:22">
      <c r="A657" t="s">
        <v>1021</v>
      </c>
      <c r="B657" t="s">
        <v>965</v>
      </c>
      <c r="C657">
        <v>4.5999999999999999E-2</v>
      </c>
      <c r="D657" t="s">
        <v>758</v>
      </c>
      <c r="E657" t="s">
        <v>1032</v>
      </c>
      <c r="F657" t="s">
        <v>1054</v>
      </c>
      <c r="G657" t="s">
        <v>961</v>
      </c>
      <c r="H657">
        <v>1.7969999999999999</v>
      </c>
      <c r="K657">
        <v>106372330</v>
      </c>
      <c r="L657" s="2">
        <v>44092</v>
      </c>
      <c r="M657">
        <v>14</v>
      </c>
      <c r="N657">
        <v>1</v>
      </c>
      <c r="P657">
        <v>1</v>
      </c>
      <c r="Q657" t="s">
        <v>8</v>
      </c>
      <c r="R657">
        <v>35.169079000000004</v>
      </c>
      <c r="S657">
        <v>-79.403542000000002</v>
      </c>
      <c r="T657" t="s">
        <v>786</v>
      </c>
      <c r="U657" t="s">
        <v>367</v>
      </c>
      <c r="V657">
        <v>1.5159</v>
      </c>
    </row>
    <row r="658" spans="1:22">
      <c r="A658" t="s">
        <v>1021</v>
      </c>
      <c r="B658" t="s">
        <v>965</v>
      </c>
      <c r="C658">
        <v>7.3999999999999996E-2</v>
      </c>
      <c r="D658" t="s">
        <v>756</v>
      </c>
      <c r="E658" t="s">
        <v>1054</v>
      </c>
      <c r="F658" t="s">
        <v>1032</v>
      </c>
      <c r="G658" t="s">
        <v>961</v>
      </c>
      <c r="H658">
        <v>1.7969999999999999</v>
      </c>
      <c r="K658">
        <v>108215071</v>
      </c>
      <c r="L658" s="2">
        <v>45897</v>
      </c>
      <c r="M658">
        <v>30</v>
      </c>
      <c r="N658">
        <v>1</v>
      </c>
      <c r="O658">
        <v>4</v>
      </c>
      <c r="P658">
        <v>1</v>
      </c>
      <c r="Q658" t="s">
        <v>7</v>
      </c>
    </row>
    <row r="659" spans="1:22">
      <c r="A659" t="s">
        <v>1021</v>
      </c>
      <c r="B659" t="s">
        <v>965</v>
      </c>
      <c r="C659">
        <v>7.5999999999999998E-2</v>
      </c>
      <c r="D659" t="s">
        <v>756</v>
      </c>
      <c r="E659" t="s">
        <v>1054</v>
      </c>
      <c r="F659" t="s">
        <v>1032</v>
      </c>
      <c r="G659" t="s">
        <v>961</v>
      </c>
      <c r="H659">
        <v>1.7989999999999999</v>
      </c>
      <c r="K659">
        <v>107756319</v>
      </c>
      <c r="L659" s="2">
        <v>45461</v>
      </c>
      <c r="M659">
        <v>23</v>
      </c>
      <c r="N659">
        <v>1</v>
      </c>
      <c r="O659">
        <v>0</v>
      </c>
      <c r="P659">
        <v>1</v>
      </c>
      <c r="Q659" t="s">
        <v>7</v>
      </c>
    </row>
    <row r="660" spans="1:22">
      <c r="A660" t="s">
        <v>1021</v>
      </c>
      <c r="B660" t="s">
        <v>965</v>
      </c>
      <c r="C660">
        <v>4.1000000000000002E-2</v>
      </c>
      <c r="D660" t="s">
        <v>765</v>
      </c>
      <c r="E660" t="s">
        <v>1032</v>
      </c>
      <c r="F660" t="s">
        <v>1054</v>
      </c>
      <c r="G660" t="s">
        <v>961</v>
      </c>
      <c r="H660">
        <v>1.802</v>
      </c>
      <c r="K660">
        <v>108466071</v>
      </c>
      <c r="L660" s="2">
        <v>46127</v>
      </c>
      <c r="M660">
        <v>30</v>
      </c>
      <c r="N660">
        <v>1</v>
      </c>
      <c r="O660">
        <v>0</v>
      </c>
      <c r="P660">
        <v>1</v>
      </c>
      <c r="Q660" t="s">
        <v>3</v>
      </c>
    </row>
    <row r="661" spans="1:22">
      <c r="A661" t="s">
        <v>1021</v>
      </c>
      <c r="B661" t="s">
        <v>965</v>
      </c>
      <c r="C661">
        <v>3.7999999999999999E-2</v>
      </c>
      <c r="D661" t="s">
        <v>758</v>
      </c>
      <c r="E661" t="s">
        <v>1032</v>
      </c>
      <c r="F661" t="s">
        <v>1054</v>
      </c>
      <c r="G661" t="s">
        <v>961</v>
      </c>
      <c r="H661">
        <v>1.8049999999999999</v>
      </c>
      <c r="K661">
        <v>106944683</v>
      </c>
      <c r="L661" s="2">
        <v>44686</v>
      </c>
      <c r="M661">
        <v>30</v>
      </c>
      <c r="N661">
        <v>1</v>
      </c>
      <c r="O661">
        <v>8</v>
      </c>
      <c r="P661">
        <v>1</v>
      </c>
      <c r="Q661" t="s">
        <v>7</v>
      </c>
    </row>
    <row r="662" spans="1:22">
      <c r="A662" t="s">
        <v>1021</v>
      </c>
      <c r="B662" t="s">
        <v>965</v>
      </c>
      <c r="C662">
        <v>3.7999999999999999E-2</v>
      </c>
      <c r="D662" t="s">
        <v>758</v>
      </c>
      <c r="E662" t="s">
        <v>1032</v>
      </c>
      <c r="F662" t="s">
        <v>1054</v>
      </c>
      <c r="G662" t="s">
        <v>961</v>
      </c>
      <c r="H662">
        <v>1.8049999999999999</v>
      </c>
      <c r="K662">
        <v>107496325</v>
      </c>
      <c r="L662" s="2">
        <v>45219</v>
      </c>
      <c r="M662">
        <v>30</v>
      </c>
      <c r="N662">
        <v>2</v>
      </c>
      <c r="O662">
        <v>0</v>
      </c>
      <c r="P662">
        <v>1</v>
      </c>
      <c r="Q662" t="s">
        <v>7</v>
      </c>
    </row>
    <row r="663" spans="1:22">
      <c r="A663" t="s">
        <v>1021</v>
      </c>
      <c r="B663" t="s">
        <v>965</v>
      </c>
      <c r="C663">
        <v>3.7999999999999999E-2</v>
      </c>
      <c r="D663" t="s">
        <v>758</v>
      </c>
      <c r="E663" t="s">
        <v>1032</v>
      </c>
      <c r="F663" t="s">
        <v>979</v>
      </c>
      <c r="G663" t="s">
        <v>961</v>
      </c>
      <c r="H663">
        <v>1.8049999999999999</v>
      </c>
      <c r="K663">
        <v>106802346</v>
      </c>
      <c r="L663" s="2">
        <v>44503</v>
      </c>
      <c r="M663">
        <v>21</v>
      </c>
      <c r="N663">
        <v>1</v>
      </c>
      <c r="O663">
        <v>0</v>
      </c>
      <c r="P663">
        <v>1</v>
      </c>
      <c r="Q663" t="s">
        <v>7</v>
      </c>
    </row>
    <row r="664" spans="1:22">
      <c r="A664" t="s">
        <v>1021</v>
      </c>
      <c r="B664" t="s">
        <v>965</v>
      </c>
      <c r="C664">
        <v>3.1E-2</v>
      </c>
      <c r="D664" t="s">
        <v>758</v>
      </c>
      <c r="E664" t="s">
        <v>1032</v>
      </c>
      <c r="F664" t="s">
        <v>1054</v>
      </c>
      <c r="G664" t="s">
        <v>961</v>
      </c>
      <c r="H664">
        <v>1.8120000000000001</v>
      </c>
      <c r="K664">
        <v>108064315</v>
      </c>
      <c r="L664" s="2">
        <v>45747</v>
      </c>
      <c r="M664">
        <v>30</v>
      </c>
      <c r="N664">
        <v>1</v>
      </c>
      <c r="O664">
        <v>8</v>
      </c>
      <c r="P664">
        <v>1</v>
      </c>
      <c r="Q664" t="s">
        <v>7</v>
      </c>
    </row>
    <row r="665" spans="1:22">
      <c r="A665" t="s">
        <v>1021</v>
      </c>
      <c r="B665" t="s">
        <v>965</v>
      </c>
      <c r="C665">
        <v>2.4E-2</v>
      </c>
      <c r="D665" t="s">
        <v>758</v>
      </c>
      <c r="E665" t="s">
        <v>1032</v>
      </c>
      <c r="F665" t="s">
        <v>1054</v>
      </c>
      <c r="G665" t="s">
        <v>961</v>
      </c>
      <c r="H665">
        <v>1.819</v>
      </c>
      <c r="K665">
        <v>106891012</v>
      </c>
      <c r="L665" s="2">
        <v>44636</v>
      </c>
      <c r="M665">
        <v>30</v>
      </c>
      <c r="N665">
        <v>1</v>
      </c>
      <c r="O665">
        <v>25</v>
      </c>
      <c r="P665">
        <v>1</v>
      </c>
      <c r="Q665" t="s">
        <v>3</v>
      </c>
    </row>
    <row r="666" spans="1:22">
      <c r="A666" t="s">
        <v>1021</v>
      </c>
      <c r="B666" t="s">
        <v>965</v>
      </c>
      <c r="C666">
        <v>1.9E-2</v>
      </c>
      <c r="D666" t="s">
        <v>758</v>
      </c>
      <c r="E666" t="s">
        <v>1032</v>
      </c>
      <c r="F666" t="s">
        <v>1054</v>
      </c>
      <c r="G666" t="s">
        <v>961</v>
      </c>
      <c r="H666">
        <v>1.8240000000000001</v>
      </c>
      <c r="K666">
        <v>108170643</v>
      </c>
      <c r="L666" s="2">
        <v>45852</v>
      </c>
      <c r="M666">
        <v>21</v>
      </c>
      <c r="N666">
        <v>1</v>
      </c>
      <c r="O666">
        <v>0</v>
      </c>
      <c r="P666">
        <v>1</v>
      </c>
      <c r="Q666" t="s">
        <v>7</v>
      </c>
    </row>
    <row r="667" spans="1:22">
      <c r="A667" t="s">
        <v>1021</v>
      </c>
      <c r="B667" t="s">
        <v>965</v>
      </c>
      <c r="C667">
        <v>1.9E-2</v>
      </c>
      <c r="D667" t="s">
        <v>758</v>
      </c>
      <c r="E667" t="s">
        <v>1032</v>
      </c>
      <c r="F667" t="s">
        <v>1054</v>
      </c>
      <c r="G667" t="s">
        <v>961</v>
      </c>
      <c r="H667">
        <v>1.8240000000000001</v>
      </c>
      <c r="K667">
        <v>106980804</v>
      </c>
      <c r="L667" s="2">
        <v>44719</v>
      </c>
      <c r="M667">
        <v>30</v>
      </c>
      <c r="N667">
        <v>1</v>
      </c>
      <c r="O667">
        <v>8</v>
      </c>
      <c r="P667">
        <v>1</v>
      </c>
      <c r="Q667" t="s">
        <v>7</v>
      </c>
    </row>
    <row r="668" spans="1:22">
      <c r="A668" t="s">
        <v>1021</v>
      </c>
      <c r="B668" t="s">
        <v>965</v>
      </c>
      <c r="C668">
        <v>1.9E-2</v>
      </c>
      <c r="D668" t="s">
        <v>765</v>
      </c>
      <c r="E668" t="s">
        <v>1032</v>
      </c>
      <c r="F668" t="s">
        <v>1054</v>
      </c>
      <c r="G668" t="s">
        <v>961</v>
      </c>
      <c r="H668">
        <v>1.8240000000000001</v>
      </c>
      <c r="K668">
        <v>108055389</v>
      </c>
      <c r="L668" s="2">
        <v>45737</v>
      </c>
      <c r="M668">
        <v>30</v>
      </c>
      <c r="N668">
        <v>1</v>
      </c>
      <c r="O668">
        <v>0</v>
      </c>
      <c r="P668">
        <v>1</v>
      </c>
      <c r="Q668" t="s">
        <v>7</v>
      </c>
    </row>
    <row r="669" spans="1:22">
      <c r="A669" t="s">
        <v>1021</v>
      </c>
      <c r="B669" t="s">
        <v>965</v>
      </c>
      <c r="C669">
        <v>1.6E-2</v>
      </c>
      <c r="D669" t="s">
        <v>765</v>
      </c>
      <c r="E669" t="s">
        <v>1032</v>
      </c>
      <c r="F669" t="s">
        <v>1054</v>
      </c>
      <c r="G669" t="s">
        <v>961</v>
      </c>
      <c r="H669">
        <v>1.827</v>
      </c>
      <c r="K669">
        <v>108245396</v>
      </c>
      <c r="L669" s="2">
        <v>45927</v>
      </c>
      <c r="M669">
        <v>30</v>
      </c>
      <c r="N669">
        <v>1</v>
      </c>
      <c r="O669">
        <v>7</v>
      </c>
      <c r="P669">
        <v>1</v>
      </c>
      <c r="Q669" t="s">
        <v>7</v>
      </c>
    </row>
    <row r="670" spans="1:22">
      <c r="A670" t="s">
        <v>1021</v>
      </c>
      <c r="B670" t="s">
        <v>965</v>
      </c>
      <c r="C670">
        <v>1.4E-2</v>
      </c>
      <c r="D670" t="s">
        <v>758</v>
      </c>
      <c r="E670" t="s">
        <v>1032</v>
      </c>
      <c r="F670" t="s">
        <v>979</v>
      </c>
      <c r="G670" t="s">
        <v>961</v>
      </c>
      <c r="H670">
        <v>1.829</v>
      </c>
      <c r="K670">
        <v>105007255</v>
      </c>
      <c r="L670" s="2">
        <v>42748</v>
      </c>
      <c r="M670">
        <v>30</v>
      </c>
      <c r="N670">
        <v>1</v>
      </c>
      <c r="O670">
        <v>0</v>
      </c>
      <c r="P670">
        <v>1</v>
      </c>
      <c r="Q670" t="s">
        <v>7</v>
      </c>
    </row>
    <row r="671" spans="1:22">
      <c r="A671" t="s">
        <v>1021</v>
      </c>
      <c r="B671" t="s">
        <v>965</v>
      </c>
      <c r="C671">
        <v>8.9999999999999993E-3</v>
      </c>
      <c r="D671" t="s">
        <v>758</v>
      </c>
      <c r="E671" t="s">
        <v>1032</v>
      </c>
      <c r="F671" t="s">
        <v>1033</v>
      </c>
      <c r="G671" t="s">
        <v>961</v>
      </c>
      <c r="H671">
        <v>1.8340000000000001</v>
      </c>
      <c r="K671">
        <v>105589781</v>
      </c>
      <c r="L671" s="2">
        <v>43336</v>
      </c>
      <c r="M671">
        <v>30</v>
      </c>
      <c r="N671">
        <v>1</v>
      </c>
      <c r="O671">
        <v>0</v>
      </c>
      <c r="P671">
        <v>1</v>
      </c>
      <c r="Q671" t="s">
        <v>7</v>
      </c>
    </row>
    <row r="672" spans="1:22">
      <c r="A672" t="s">
        <v>1021</v>
      </c>
      <c r="B672" t="s">
        <v>965</v>
      </c>
      <c r="C672">
        <v>8.9999999999999993E-3</v>
      </c>
      <c r="D672" t="s">
        <v>757</v>
      </c>
      <c r="E672" t="s">
        <v>1032</v>
      </c>
      <c r="F672" t="s">
        <v>1071</v>
      </c>
      <c r="G672" t="s">
        <v>961</v>
      </c>
      <c r="H672">
        <v>1.8340000000000001</v>
      </c>
      <c r="K672">
        <v>108170642</v>
      </c>
      <c r="L672" s="2">
        <v>45852</v>
      </c>
      <c r="M672">
        <v>30</v>
      </c>
      <c r="N672">
        <v>1</v>
      </c>
      <c r="O672">
        <v>0</v>
      </c>
      <c r="P672">
        <v>1</v>
      </c>
      <c r="Q672" t="s">
        <v>7</v>
      </c>
    </row>
    <row r="673" spans="1:17">
      <c r="A673" t="s">
        <v>1021</v>
      </c>
      <c r="B673" t="s">
        <v>965</v>
      </c>
      <c r="C673">
        <v>5.7000000000000002E-2</v>
      </c>
      <c r="D673" t="s">
        <v>758</v>
      </c>
      <c r="E673" t="s">
        <v>1035</v>
      </c>
      <c r="F673" t="s">
        <v>1032</v>
      </c>
      <c r="G673" t="s">
        <v>961</v>
      </c>
      <c r="H673">
        <v>1.8360000000000001</v>
      </c>
      <c r="K673">
        <v>106802066</v>
      </c>
      <c r="L673" s="2">
        <v>44362</v>
      </c>
      <c r="M673">
        <v>21</v>
      </c>
      <c r="N673">
        <v>1</v>
      </c>
      <c r="O673">
        <v>0</v>
      </c>
      <c r="P673">
        <v>1</v>
      </c>
      <c r="Q673" t="s">
        <v>3</v>
      </c>
    </row>
    <row r="674" spans="1:17">
      <c r="A674" t="s">
        <v>1021</v>
      </c>
      <c r="B674" t="s">
        <v>965</v>
      </c>
      <c r="C674">
        <v>0</v>
      </c>
      <c r="E674" t="s">
        <v>1032</v>
      </c>
      <c r="F674" t="s">
        <v>1079</v>
      </c>
      <c r="G674" t="s">
        <v>961</v>
      </c>
      <c r="H674">
        <v>1.843</v>
      </c>
      <c r="K674">
        <v>105277891</v>
      </c>
      <c r="L674" s="2">
        <v>43008</v>
      </c>
      <c r="M674">
        <v>30</v>
      </c>
      <c r="N674">
        <v>1</v>
      </c>
      <c r="O674">
        <v>7</v>
      </c>
      <c r="P674">
        <v>1</v>
      </c>
      <c r="Q674" t="s">
        <v>7</v>
      </c>
    </row>
    <row r="675" spans="1:17">
      <c r="A675" t="s">
        <v>1021</v>
      </c>
      <c r="B675" t="s">
        <v>965</v>
      </c>
      <c r="C675">
        <v>0</v>
      </c>
      <c r="E675" t="s">
        <v>1032</v>
      </c>
      <c r="F675" t="s">
        <v>1033</v>
      </c>
      <c r="G675" t="s">
        <v>961</v>
      </c>
      <c r="H675">
        <v>1.843</v>
      </c>
      <c r="K675">
        <v>106805830</v>
      </c>
      <c r="L675" s="2">
        <v>44547</v>
      </c>
      <c r="M675">
        <v>21</v>
      </c>
      <c r="N675">
        <v>1</v>
      </c>
      <c r="O675">
        <v>7</v>
      </c>
      <c r="P675">
        <v>2</v>
      </c>
      <c r="Q675" t="s">
        <v>7</v>
      </c>
    </row>
    <row r="676" spans="1:17">
      <c r="A676" t="s">
        <v>1021</v>
      </c>
      <c r="B676" t="s">
        <v>965</v>
      </c>
      <c r="C676">
        <v>0</v>
      </c>
      <c r="E676" t="s">
        <v>1032</v>
      </c>
      <c r="F676" t="s">
        <v>1033</v>
      </c>
      <c r="G676" t="s">
        <v>961</v>
      </c>
      <c r="H676">
        <v>1.843</v>
      </c>
      <c r="K676">
        <v>108273805</v>
      </c>
      <c r="L676" s="2">
        <v>45952</v>
      </c>
      <c r="M676">
        <v>23</v>
      </c>
      <c r="N676">
        <v>1</v>
      </c>
      <c r="O676">
        <v>7</v>
      </c>
      <c r="P676">
        <v>1</v>
      </c>
      <c r="Q676" t="s">
        <v>8</v>
      </c>
    </row>
    <row r="677" spans="1:17">
      <c r="A677" t="s">
        <v>1021</v>
      </c>
      <c r="B677" t="s">
        <v>965</v>
      </c>
      <c r="C677">
        <v>0</v>
      </c>
      <c r="E677" t="s">
        <v>1032</v>
      </c>
      <c r="F677" t="s">
        <v>1033</v>
      </c>
      <c r="G677" t="s">
        <v>961</v>
      </c>
      <c r="H677">
        <v>1.843</v>
      </c>
      <c r="K677">
        <v>105257896</v>
      </c>
      <c r="L677" s="2">
        <v>43011</v>
      </c>
      <c r="M677">
        <v>30</v>
      </c>
      <c r="N677">
        <v>1</v>
      </c>
      <c r="O677">
        <v>7</v>
      </c>
      <c r="P677">
        <v>1</v>
      </c>
      <c r="Q677" t="s">
        <v>3</v>
      </c>
    </row>
    <row r="678" spans="1:17">
      <c r="A678" t="s">
        <v>1021</v>
      </c>
      <c r="B678" t="s">
        <v>965</v>
      </c>
      <c r="C678">
        <v>0</v>
      </c>
      <c r="D678" t="s">
        <v>756</v>
      </c>
      <c r="E678" t="s">
        <v>1032</v>
      </c>
      <c r="F678" t="s">
        <v>1033</v>
      </c>
      <c r="G678" t="s">
        <v>961</v>
      </c>
      <c r="H678">
        <v>1.843</v>
      </c>
      <c r="K678">
        <v>105107757</v>
      </c>
      <c r="L678" s="2">
        <v>42863</v>
      </c>
      <c r="M678">
        <v>30</v>
      </c>
      <c r="N678">
        <v>1</v>
      </c>
      <c r="O678">
        <v>7</v>
      </c>
      <c r="P678">
        <v>1</v>
      </c>
      <c r="Q678" t="s">
        <v>7</v>
      </c>
    </row>
    <row r="679" spans="1:17">
      <c r="A679" t="s">
        <v>1021</v>
      </c>
      <c r="B679" t="s">
        <v>965</v>
      </c>
      <c r="C679">
        <v>0</v>
      </c>
      <c r="E679" t="s">
        <v>1032</v>
      </c>
      <c r="F679" t="s">
        <v>1033</v>
      </c>
      <c r="G679" t="s">
        <v>961</v>
      </c>
      <c r="H679">
        <v>1.843</v>
      </c>
      <c r="K679">
        <v>107150023</v>
      </c>
      <c r="L679" s="2">
        <v>44877</v>
      </c>
      <c r="M679">
        <v>30</v>
      </c>
      <c r="N679">
        <v>1</v>
      </c>
      <c r="O679">
        <v>7</v>
      </c>
      <c r="P679">
        <v>1</v>
      </c>
      <c r="Q679" t="s">
        <v>7</v>
      </c>
    </row>
    <row r="680" spans="1:17">
      <c r="A680" t="s">
        <v>1021</v>
      </c>
      <c r="B680" t="s">
        <v>965</v>
      </c>
      <c r="C680">
        <v>0</v>
      </c>
      <c r="E680" t="s">
        <v>1032</v>
      </c>
      <c r="F680" t="s">
        <v>1033</v>
      </c>
      <c r="G680" t="s">
        <v>961</v>
      </c>
      <c r="H680">
        <v>1.843</v>
      </c>
      <c r="K680">
        <v>107367831</v>
      </c>
      <c r="L680" s="2">
        <v>45093</v>
      </c>
      <c r="M680">
        <v>30</v>
      </c>
      <c r="N680">
        <v>1</v>
      </c>
      <c r="O680">
        <v>7</v>
      </c>
      <c r="P680">
        <v>1</v>
      </c>
      <c r="Q680" t="s">
        <v>3</v>
      </c>
    </row>
    <row r="681" spans="1:17">
      <c r="A681" t="s">
        <v>1021</v>
      </c>
      <c r="B681" t="s">
        <v>965</v>
      </c>
      <c r="C681">
        <v>0.1</v>
      </c>
      <c r="E681" t="s">
        <v>1032</v>
      </c>
      <c r="F681" t="s">
        <v>1025</v>
      </c>
      <c r="G681" t="s">
        <v>961</v>
      </c>
      <c r="H681">
        <v>1.843</v>
      </c>
      <c r="I681" t="s">
        <v>61</v>
      </c>
      <c r="K681">
        <v>106802210</v>
      </c>
      <c r="L681" s="2">
        <v>44435</v>
      </c>
      <c r="M681">
        <v>21</v>
      </c>
      <c r="N681">
        <v>1</v>
      </c>
      <c r="O681">
        <v>7</v>
      </c>
      <c r="P681">
        <v>1</v>
      </c>
      <c r="Q681" t="s">
        <v>7</v>
      </c>
    </row>
    <row r="682" spans="1:17">
      <c r="A682" t="s">
        <v>1021</v>
      </c>
      <c r="B682" t="s">
        <v>965</v>
      </c>
      <c r="C682">
        <v>0</v>
      </c>
      <c r="E682" t="s">
        <v>1032</v>
      </c>
      <c r="F682" t="s">
        <v>1040</v>
      </c>
      <c r="G682" t="s">
        <v>961</v>
      </c>
      <c r="H682">
        <v>1.843</v>
      </c>
      <c r="K682">
        <v>105823342</v>
      </c>
      <c r="L682" s="2">
        <v>43542</v>
      </c>
      <c r="M682">
        <v>23</v>
      </c>
      <c r="N682">
        <v>1</v>
      </c>
      <c r="O682">
        <v>7</v>
      </c>
      <c r="P682">
        <v>1</v>
      </c>
      <c r="Q682" t="s">
        <v>3</v>
      </c>
    </row>
    <row r="683" spans="1:17">
      <c r="A683" t="s">
        <v>1021</v>
      </c>
      <c r="B683" t="s">
        <v>965</v>
      </c>
      <c r="C683">
        <v>0</v>
      </c>
      <c r="E683" t="s">
        <v>1032</v>
      </c>
      <c r="F683" t="s">
        <v>1054</v>
      </c>
      <c r="G683" t="s">
        <v>961</v>
      </c>
      <c r="H683">
        <v>1.843</v>
      </c>
      <c r="K683">
        <v>105277883</v>
      </c>
      <c r="L683" s="2">
        <v>43022</v>
      </c>
      <c r="M683">
        <v>21</v>
      </c>
      <c r="N683">
        <v>1</v>
      </c>
      <c r="O683">
        <v>7</v>
      </c>
      <c r="P683">
        <v>1</v>
      </c>
      <c r="Q683" t="s">
        <v>7</v>
      </c>
    </row>
    <row r="684" spans="1:17">
      <c r="A684" t="s">
        <v>1021</v>
      </c>
      <c r="B684" t="s">
        <v>965</v>
      </c>
      <c r="C684">
        <v>0</v>
      </c>
      <c r="E684" t="s">
        <v>1032</v>
      </c>
      <c r="F684" t="s">
        <v>1054</v>
      </c>
      <c r="G684" t="s">
        <v>961</v>
      </c>
      <c r="H684">
        <v>1.843</v>
      </c>
      <c r="K684">
        <v>107121939</v>
      </c>
      <c r="L684" s="2">
        <v>44859</v>
      </c>
      <c r="M684">
        <v>23</v>
      </c>
      <c r="N684">
        <v>1</v>
      </c>
      <c r="O684">
        <v>7</v>
      </c>
      <c r="P684">
        <v>1</v>
      </c>
      <c r="Q684" t="s">
        <v>7</v>
      </c>
    </row>
    <row r="685" spans="1:17">
      <c r="A685" t="s">
        <v>1021</v>
      </c>
      <c r="B685" t="s">
        <v>965</v>
      </c>
      <c r="C685">
        <v>0</v>
      </c>
      <c r="D685" t="s">
        <v>758</v>
      </c>
      <c r="E685" t="s">
        <v>1032</v>
      </c>
      <c r="F685" t="s">
        <v>1054</v>
      </c>
      <c r="G685" t="s">
        <v>961</v>
      </c>
      <c r="H685">
        <v>1.843</v>
      </c>
      <c r="K685">
        <v>105042569</v>
      </c>
      <c r="L685" s="2">
        <v>42805</v>
      </c>
      <c r="M685">
        <v>30</v>
      </c>
      <c r="N685">
        <v>1</v>
      </c>
      <c r="O685">
        <v>7</v>
      </c>
      <c r="P685">
        <v>1</v>
      </c>
      <c r="Q685" t="s">
        <v>7</v>
      </c>
    </row>
    <row r="686" spans="1:17">
      <c r="A686" t="s">
        <v>1021</v>
      </c>
      <c r="B686" t="s">
        <v>965</v>
      </c>
      <c r="C686">
        <v>0</v>
      </c>
      <c r="E686" t="s">
        <v>1032</v>
      </c>
      <c r="F686" t="s">
        <v>1054</v>
      </c>
      <c r="G686" t="s">
        <v>961</v>
      </c>
      <c r="H686">
        <v>1.843</v>
      </c>
      <c r="K686">
        <v>106832361</v>
      </c>
      <c r="L686" s="2">
        <v>44576</v>
      </c>
      <c r="M686">
        <v>30</v>
      </c>
      <c r="N686">
        <v>1</v>
      </c>
      <c r="O686">
        <v>7</v>
      </c>
      <c r="P686">
        <v>1</v>
      </c>
      <c r="Q686" t="s">
        <v>7</v>
      </c>
    </row>
    <row r="687" spans="1:17">
      <c r="A687" t="s">
        <v>1021</v>
      </c>
      <c r="B687" t="s">
        <v>965</v>
      </c>
      <c r="C687">
        <v>0</v>
      </c>
      <c r="E687" t="s">
        <v>1032</v>
      </c>
      <c r="F687" t="s">
        <v>1054</v>
      </c>
      <c r="G687" t="s">
        <v>961</v>
      </c>
      <c r="H687">
        <v>1.843</v>
      </c>
      <c r="K687">
        <v>108249614</v>
      </c>
      <c r="L687" s="2">
        <v>45931</v>
      </c>
      <c r="M687">
        <v>30</v>
      </c>
      <c r="N687">
        <v>1</v>
      </c>
      <c r="O687">
        <v>7</v>
      </c>
      <c r="P687">
        <v>1</v>
      </c>
      <c r="Q687" t="s">
        <v>7</v>
      </c>
    </row>
    <row r="688" spans="1:17">
      <c r="A688" t="s">
        <v>1021</v>
      </c>
      <c r="B688" t="s">
        <v>965</v>
      </c>
      <c r="C688">
        <v>0</v>
      </c>
      <c r="D688" t="s">
        <v>756</v>
      </c>
      <c r="E688" t="s">
        <v>1032</v>
      </c>
      <c r="F688" t="s">
        <v>1035</v>
      </c>
      <c r="G688" t="s">
        <v>961</v>
      </c>
      <c r="H688">
        <v>1.843</v>
      </c>
      <c r="K688">
        <v>106186243</v>
      </c>
      <c r="L688" s="2">
        <v>43846</v>
      </c>
      <c r="M688">
        <v>30</v>
      </c>
      <c r="N688">
        <v>1</v>
      </c>
      <c r="O688">
        <v>7</v>
      </c>
      <c r="P688">
        <v>2</v>
      </c>
      <c r="Q688" t="s">
        <v>7</v>
      </c>
    </row>
    <row r="689" spans="1:17">
      <c r="A689" t="s">
        <v>1021</v>
      </c>
      <c r="B689" t="s">
        <v>965</v>
      </c>
      <c r="C689">
        <v>0</v>
      </c>
      <c r="E689" t="s">
        <v>1032</v>
      </c>
      <c r="F689" t="s">
        <v>1035</v>
      </c>
      <c r="G689" t="s">
        <v>961</v>
      </c>
      <c r="H689">
        <v>1.843</v>
      </c>
      <c r="K689">
        <v>107046295</v>
      </c>
      <c r="L689" s="2">
        <v>44788</v>
      </c>
      <c r="M689">
        <v>30</v>
      </c>
      <c r="N689">
        <v>2</v>
      </c>
      <c r="O689">
        <v>0</v>
      </c>
      <c r="P689">
        <v>1</v>
      </c>
      <c r="Q689" t="s">
        <v>7</v>
      </c>
    </row>
    <row r="690" spans="1:17">
      <c r="A690" t="s">
        <v>1021</v>
      </c>
      <c r="B690" t="s">
        <v>965</v>
      </c>
      <c r="C690">
        <v>0</v>
      </c>
      <c r="E690" t="s">
        <v>1032</v>
      </c>
      <c r="F690" t="s">
        <v>1071</v>
      </c>
      <c r="G690" t="s">
        <v>961</v>
      </c>
      <c r="H690">
        <v>1.843</v>
      </c>
      <c r="K690">
        <v>106064223</v>
      </c>
      <c r="L690" s="2">
        <v>43766</v>
      </c>
      <c r="M690">
        <v>23</v>
      </c>
      <c r="N690">
        <v>1</v>
      </c>
      <c r="O690">
        <v>7</v>
      </c>
      <c r="P690">
        <v>1</v>
      </c>
      <c r="Q690" t="s">
        <v>7</v>
      </c>
    </row>
    <row r="691" spans="1:17">
      <c r="A691" t="s">
        <v>1021</v>
      </c>
      <c r="B691" t="s">
        <v>965</v>
      </c>
      <c r="C691">
        <v>0</v>
      </c>
      <c r="E691" t="s">
        <v>1032</v>
      </c>
      <c r="F691" t="s">
        <v>1071</v>
      </c>
      <c r="G691" t="s">
        <v>961</v>
      </c>
      <c r="H691">
        <v>1.843</v>
      </c>
      <c r="K691">
        <v>105392275</v>
      </c>
      <c r="L691" s="2">
        <v>43133</v>
      </c>
      <c r="M691">
        <v>30</v>
      </c>
      <c r="N691">
        <v>1</v>
      </c>
      <c r="O691">
        <v>7</v>
      </c>
      <c r="P691">
        <v>1</v>
      </c>
      <c r="Q691" t="s">
        <v>3</v>
      </c>
    </row>
    <row r="692" spans="1:17">
      <c r="A692" t="s">
        <v>1021</v>
      </c>
      <c r="B692" t="s">
        <v>965</v>
      </c>
      <c r="C692">
        <v>0</v>
      </c>
      <c r="E692" t="s">
        <v>1032</v>
      </c>
      <c r="G692" t="s">
        <v>961</v>
      </c>
      <c r="H692">
        <v>1.843</v>
      </c>
      <c r="K692">
        <v>106330280</v>
      </c>
      <c r="L692" s="2">
        <v>44040</v>
      </c>
      <c r="M692">
        <v>30</v>
      </c>
      <c r="N692">
        <v>1</v>
      </c>
      <c r="O692">
        <v>7</v>
      </c>
      <c r="P692">
        <v>1</v>
      </c>
      <c r="Q692" t="s">
        <v>7</v>
      </c>
    </row>
    <row r="693" spans="1:17">
      <c r="A693" t="s">
        <v>1021</v>
      </c>
      <c r="B693" t="s">
        <v>965</v>
      </c>
      <c r="C693">
        <v>0</v>
      </c>
      <c r="D693" t="s">
        <v>764</v>
      </c>
      <c r="E693" t="s">
        <v>1032</v>
      </c>
      <c r="G693" t="s">
        <v>961</v>
      </c>
      <c r="H693">
        <v>1.843</v>
      </c>
      <c r="K693">
        <v>106945966</v>
      </c>
      <c r="L693" s="2">
        <v>44688</v>
      </c>
      <c r="M693">
        <v>30</v>
      </c>
      <c r="N693">
        <v>2</v>
      </c>
      <c r="O693">
        <v>7</v>
      </c>
      <c r="P693">
        <v>4</v>
      </c>
      <c r="Q693" t="s">
        <v>3</v>
      </c>
    </row>
    <row r="694" spans="1:17">
      <c r="A694" t="s">
        <v>1021</v>
      </c>
      <c r="B694" t="s">
        <v>965</v>
      </c>
      <c r="C694">
        <v>0</v>
      </c>
      <c r="E694" t="s">
        <v>1032</v>
      </c>
      <c r="G694" t="s">
        <v>961</v>
      </c>
      <c r="H694">
        <v>1.843</v>
      </c>
      <c r="K694">
        <v>107444738</v>
      </c>
      <c r="L694" s="2">
        <v>45169</v>
      </c>
      <c r="M694">
        <v>30</v>
      </c>
      <c r="N694">
        <v>1</v>
      </c>
      <c r="O694">
        <v>7</v>
      </c>
      <c r="P694">
        <v>1</v>
      </c>
      <c r="Q694" t="s">
        <v>8</v>
      </c>
    </row>
    <row r="695" spans="1:17">
      <c r="A695" t="s">
        <v>1021</v>
      </c>
      <c r="B695" t="s">
        <v>965</v>
      </c>
      <c r="C695">
        <v>8.9999999999999993E-3</v>
      </c>
      <c r="D695" t="s">
        <v>756</v>
      </c>
      <c r="E695" t="s">
        <v>1032</v>
      </c>
      <c r="F695" t="s">
        <v>1033</v>
      </c>
      <c r="G695" t="s">
        <v>961</v>
      </c>
      <c r="H695">
        <v>1.8520000000000001</v>
      </c>
      <c r="K695">
        <v>108518939</v>
      </c>
      <c r="L695" s="2">
        <v>46177</v>
      </c>
      <c r="M695">
        <v>21</v>
      </c>
      <c r="N695">
        <v>1</v>
      </c>
      <c r="O695">
        <v>7</v>
      </c>
      <c r="P695">
        <v>1</v>
      </c>
      <c r="Q695" t="s">
        <v>7</v>
      </c>
    </row>
    <row r="696" spans="1:17">
      <c r="A696" t="s">
        <v>1021</v>
      </c>
      <c r="B696" t="s">
        <v>965</v>
      </c>
      <c r="C696">
        <v>1.7000000000000001E-2</v>
      </c>
      <c r="D696" t="s">
        <v>756</v>
      </c>
      <c r="E696" t="s">
        <v>1032</v>
      </c>
      <c r="F696" t="s">
        <v>1033</v>
      </c>
      <c r="G696" t="s">
        <v>961</v>
      </c>
      <c r="H696">
        <v>1.86</v>
      </c>
      <c r="K696">
        <v>107047308</v>
      </c>
      <c r="L696" s="2">
        <v>44789</v>
      </c>
      <c r="M696">
        <v>21</v>
      </c>
      <c r="N696">
        <v>2</v>
      </c>
      <c r="O696">
        <v>0</v>
      </c>
      <c r="P696">
        <v>1</v>
      </c>
      <c r="Q696" t="s">
        <v>7</v>
      </c>
    </row>
    <row r="697" spans="1:17">
      <c r="A697" t="s">
        <v>1021</v>
      </c>
      <c r="B697" t="s">
        <v>965</v>
      </c>
      <c r="C697">
        <v>1.9E-2</v>
      </c>
      <c r="D697" t="s">
        <v>756</v>
      </c>
      <c r="E697" t="s">
        <v>1032</v>
      </c>
      <c r="F697" t="s">
        <v>1033</v>
      </c>
      <c r="G697" t="s">
        <v>961</v>
      </c>
      <c r="H697">
        <v>1.8620000000000001</v>
      </c>
      <c r="K697">
        <v>108287189</v>
      </c>
      <c r="L697" s="2">
        <v>45961</v>
      </c>
      <c r="M697">
        <v>28</v>
      </c>
      <c r="N697">
        <v>1</v>
      </c>
      <c r="O697">
        <v>7</v>
      </c>
      <c r="P697">
        <v>1</v>
      </c>
      <c r="Q697" t="s">
        <v>7</v>
      </c>
    </row>
    <row r="698" spans="1:17">
      <c r="A698" t="s">
        <v>1021</v>
      </c>
      <c r="B698" t="s">
        <v>965</v>
      </c>
      <c r="C698">
        <v>1.9E-2</v>
      </c>
      <c r="D698" t="s">
        <v>756</v>
      </c>
      <c r="E698" t="s">
        <v>1032</v>
      </c>
      <c r="F698" t="s">
        <v>1033</v>
      </c>
      <c r="G698" t="s">
        <v>961</v>
      </c>
      <c r="H698">
        <v>1.8620000000000001</v>
      </c>
      <c r="K698">
        <v>106211353</v>
      </c>
      <c r="L698" s="2">
        <v>43880</v>
      </c>
      <c r="M698">
        <v>30</v>
      </c>
      <c r="N698">
        <v>2</v>
      </c>
      <c r="O698">
        <v>4</v>
      </c>
      <c r="P698">
        <v>1</v>
      </c>
      <c r="Q698" t="s">
        <v>7</v>
      </c>
    </row>
    <row r="699" spans="1:17">
      <c r="A699" t="s">
        <v>1021</v>
      </c>
      <c r="B699" t="s">
        <v>965</v>
      </c>
      <c r="C699">
        <v>0.02</v>
      </c>
      <c r="D699" t="s">
        <v>756</v>
      </c>
      <c r="E699" t="s">
        <v>1032</v>
      </c>
      <c r="G699" t="s">
        <v>961</v>
      </c>
      <c r="H699">
        <v>1.863</v>
      </c>
      <c r="K699">
        <v>107802659</v>
      </c>
      <c r="L699" s="2">
        <v>45503</v>
      </c>
      <c r="M699">
        <v>28</v>
      </c>
      <c r="N699">
        <v>1</v>
      </c>
      <c r="O699">
        <v>0</v>
      </c>
      <c r="P699">
        <v>1</v>
      </c>
      <c r="Q699" t="s">
        <v>7</v>
      </c>
    </row>
    <row r="700" spans="1:17">
      <c r="A700" t="s">
        <v>1021</v>
      </c>
      <c r="B700" t="s">
        <v>965</v>
      </c>
      <c r="C700">
        <v>2.8000000000000001E-2</v>
      </c>
      <c r="D700" t="s">
        <v>758</v>
      </c>
      <c r="E700" t="s">
        <v>1033</v>
      </c>
      <c r="F700" t="s">
        <v>1032</v>
      </c>
      <c r="G700" t="s">
        <v>961</v>
      </c>
      <c r="H700">
        <v>1.865</v>
      </c>
      <c r="K700">
        <v>107500983</v>
      </c>
      <c r="L700" s="2">
        <v>45222</v>
      </c>
      <c r="M700">
        <v>21</v>
      </c>
      <c r="N700">
        <v>1</v>
      </c>
      <c r="O700">
        <v>0</v>
      </c>
      <c r="P700">
        <v>1</v>
      </c>
      <c r="Q700" t="s">
        <v>7</v>
      </c>
    </row>
    <row r="701" spans="1:17">
      <c r="A701" t="s">
        <v>1021</v>
      </c>
      <c r="B701" t="s">
        <v>965</v>
      </c>
      <c r="C701">
        <v>2.8000000000000001E-2</v>
      </c>
      <c r="D701" t="s">
        <v>758</v>
      </c>
      <c r="E701" t="s">
        <v>1035</v>
      </c>
      <c r="F701" t="s">
        <v>1032</v>
      </c>
      <c r="G701" t="s">
        <v>961</v>
      </c>
      <c r="H701">
        <v>1.865</v>
      </c>
      <c r="K701">
        <v>108339173</v>
      </c>
      <c r="L701" s="2">
        <v>46007</v>
      </c>
      <c r="M701">
        <v>21</v>
      </c>
      <c r="N701">
        <v>1</v>
      </c>
      <c r="O701">
        <v>0</v>
      </c>
      <c r="P701">
        <v>1</v>
      </c>
      <c r="Q701" t="s">
        <v>7</v>
      </c>
    </row>
    <row r="702" spans="1:17">
      <c r="A702" t="s">
        <v>1021</v>
      </c>
      <c r="B702" t="s">
        <v>965</v>
      </c>
      <c r="C702">
        <v>2.3E-2</v>
      </c>
      <c r="D702" t="s">
        <v>758</v>
      </c>
      <c r="E702" t="s">
        <v>1033</v>
      </c>
      <c r="F702" t="s">
        <v>1032</v>
      </c>
      <c r="G702" t="s">
        <v>961</v>
      </c>
      <c r="H702">
        <v>1.87</v>
      </c>
      <c r="K702">
        <v>106211404</v>
      </c>
      <c r="L702" s="2">
        <v>43883</v>
      </c>
      <c r="M702">
        <v>21</v>
      </c>
      <c r="N702">
        <v>1</v>
      </c>
      <c r="O702">
        <v>0</v>
      </c>
      <c r="P702">
        <v>1</v>
      </c>
      <c r="Q702" t="s">
        <v>3</v>
      </c>
    </row>
    <row r="703" spans="1:17">
      <c r="A703" t="s">
        <v>1021</v>
      </c>
      <c r="B703" t="s">
        <v>965</v>
      </c>
      <c r="C703">
        <v>2.8000000000000001E-2</v>
      </c>
      <c r="D703" t="s">
        <v>762</v>
      </c>
      <c r="E703" t="s">
        <v>1032</v>
      </c>
      <c r="F703" t="s">
        <v>1035</v>
      </c>
      <c r="G703" t="s">
        <v>961</v>
      </c>
      <c r="H703">
        <v>1.871</v>
      </c>
      <c r="K703">
        <v>107630359</v>
      </c>
      <c r="L703" s="2">
        <v>45343</v>
      </c>
      <c r="M703">
        <v>21</v>
      </c>
      <c r="N703">
        <v>1</v>
      </c>
      <c r="O703">
        <v>0</v>
      </c>
      <c r="P703">
        <v>1</v>
      </c>
      <c r="Q703" t="s">
        <v>7</v>
      </c>
    </row>
    <row r="704" spans="1:17">
      <c r="A704" t="s">
        <v>1021</v>
      </c>
      <c r="B704" t="s">
        <v>965</v>
      </c>
      <c r="C704">
        <v>1.4999999999999999E-2</v>
      </c>
      <c r="D704" t="s">
        <v>765</v>
      </c>
      <c r="E704" t="s">
        <v>1035</v>
      </c>
      <c r="F704" t="s">
        <v>1032</v>
      </c>
      <c r="G704" t="s">
        <v>961</v>
      </c>
      <c r="H704">
        <v>1.8779999999999999</v>
      </c>
      <c r="K704">
        <v>107223243</v>
      </c>
      <c r="L704" s="2">
        <v>44951</v>
      </c>
      <c r="M704">
        <v>21</v>
      </c>
      <c r="N704">
        <v>2</v>
      </c>
      <c r="O704">
        <v>0</v>
      </c>
      <c r="P704">
        <v>1</v>
      </c>
      <c r="Q704" t="s">
        <v>7</v>
      </c>
    </row>
    <row r="705" spans="1:17">
      <c r="A705" t="s">
        <v>1021</v>
      </c>
      <c r="B705" t="s">
        <v>965</v>
      </c>
      <c r="C705">
        <v>3.7999999999999999E-2</v>
      </c>
      <c r="D705" t="s">
        <v>756</v>
      </c>
      <c r="E705" t="s">
        <v>1032</v>
      </c>
      <c r="F705" t="s">
        <v>1035</v>
      </c>
      <c r="G705" t="s">
        <v>961</v>
      </c>
      <c r="H705">
        <v>1.881</v>
      </c>
      <c r="K705">
        <v>107508002</v>
      </c>
      <c r="L705" s="2">
        <v>45133</v>
      </c>
      <c r="M705">
        <v>21</v>
      </c>
      <c r="N705">
        <v>1</v>
      </c>
      <c r="O705">
        <v>0</v>
      </c>
      <c r="P705">
        <v>1</v>
      </c>
      <c r="Q705" t="s">
        <v>7</v>
      </c>
    </row>
    <row r="706" spans="1:17">
      <c r="A706" t="s">
        <v>1021</v>
      </c>
      <c r="B706" t="s">
        <v>965</v>
      </c>
      <c r="C706">
        <v>0</v>
      </c>
      <c r="E706" t="s">
        <v>1033</v>
      </c>
      <c r="F706" t="s">
        <v>1083</v>
      </c>
      <c r="G706" t="s">
        <v>961</v>
      </c>
      <c r="H706">
        <v>1.893</v>
      </c>
      <c r="K706">
        <v>105984049</v>
      </c>
      <c r="L706" s="2">
        <v>43695</v>
      </c>
      <c r="M706">
        <v>23</v>
      </c>
      <c r="N706">
        <v>1</v>
      </c>
      <c r="O706">
        <v>7</v>
      </c>
      <c r="P706">
        <v>1</v>
      </c>
      <c r="Q706" t="s">
        <v>7</v>
      </c>
    </row>
    <row r="707" spans="1:17">
      <c r="A707" t="s">
        <v>1021</v>
      </c>
      <c r="B707" t="s">
        <v>965</v>
      </c>
      <c r="C707">
        <v>0</v>
      </c>
      <c r="E707" t="s">
        <v>1033</v>
      </c>
      <c r="F707" t="s">
        <v>1032</v>
      </c>
      <c r="G707" t="s">
        <v>961</v>
      </c>
      <c r="H707">
        <v>1.893</v>
      </c>
      <c r="K707">
        <v>107445055</v>
      </c>
      <c r="L707" s="2">
        <v>45169</v>
      </c>
      <c r="M707">
        <v>21</v>
      </c>
      <c r="N707">
        <v>1</v>
      </c>
      <c r="O707">
        <v>7</v>
      </c>
      <c r="P707">
        <v>1</v>
      </c>
      <c r="Q707" t="s">
        <v>3</v>
      </c>
    </row>
    <row r="708" spans="1:17">
      <c r="A708" t="s">
        <v>1021</v>
      </c>
      <c r="B708" t="s">
        <v>965</v>
      </c>
      <c r="C708">
        <v>0</v>
      </c>
      <c r="E708" t="s">
        <v>1033</v>
      </c>
      <c r="F708" t="s">
        <v>1032</v>
      </c>
      <c r="G708" t="s">
        <v>961</v>
      </c>
      <c r="H708">
        <v>1.893</v>
      </c>
      <c r="K708">
        <v>105925807</v>
      </c>
      <c r="L708" s="2">
        <v>43637</v>
      </c>
      <c r="M708">
        <v>27</v>
      </c>
      <c r="N708">
        <v>1</v>
      </c>
      <c r="O708">
        <v>7</v>
      </c>
      <c r="P708">
        <v>1</v>
      </c>
      <c r="Q708" t="s">
        <v>8</v>
      </c>
    </row>
    <row r="709" spans="1:17">
      <c r="A709" t="s">
        <v>1021</v>
      </c>
      <c r="B709" t="s">
        <v>965</v>
      </c>
      <c r="C709">
        <v>0</v>
      </c>
      <c r="E709" t="s">
        <v>1033</v>
      </c>
      <c r="F709" t="s">
        <v>1032</v>
      </c>
      <c r="G709" t="s">
        <v>961</v>
      </c>
      <c r="H709">
        <v>1.893</v>
      </c>
      <c r="K709">
        <v>105056723</v>
      </c>
      <c r="L709" s="2">
        <v>42810</v>
      </c>
      <c r="M709">
        <v>30</v>
      </c>
      <c r="N709">
        <v>1</v>
      </c>
      <c r="O709">
        <v>7</v>
      </c>
      <c r="P709">
        <v>1</v>
      </c>
      <c r="Q709" t="s">
        <v>7</v>
      </c>
    </row>
    <row r="710" spans="1:17">
      <c r="A710" t="s">
        <v>1021</v>
      </c>
      <c r="B710" t="s">
        <v>965</v>
      </c>
      <c r="C710">
        <v>0</v>
      </c>
      <c r="E710" t="s">
        <v>1033</v>
      </c>
      <c r="F710" t="s">
        <v>1025</v>
      </c>
      <c r="G710" t="s">
        <v>961</v>
      </c>
      <c r="H710">
        <v>1.893</v>
      </c>
      <c r="K710">
        <v>106125025</v>
      </c>
      <c r="L710" s="2">
        <v>43801</v>
      </c>
      <c r="M710">
        <v>21</v>
      </c>
      <c r="N710">
        <v>1</v>
      </c>
      <c r="O710">
        <v>7</v>
      </c>
      <c r="P710">
        <v>2</v>
      </c>
      <c r="Q710" t="s">
        <v>7</v>
      </c>
    </row>
    <row r="711" spans="1:17">
      <c r="A711" t="s">
        <v>1021</v>
      </c>
      <c r="B711" t="s">
        <v>965</v>
      </c>
      <c r="C711">
        <v>0</v>
      </c>
      <c r="E711" t="s">
        <v>1033</v>
      </c>
      <c r="F711" t="s">
        <v>1034</v>
      </c>
      <c r="G711" t="s">
        <v>961</v>
      </c>
      <c r="H711">
        <v>1.893</v>
      </c>
      <c r="K711">
        <v>108340331</v>
      </c>
      <c r="L711" s="2">
        <v>46008</v>
      </c>
      <c r="M711">
        <v>21</v>
      </c>
      <c r="N711">
        <v>1</v>
      </c>
      <c r="O711">
        <v>7</v>
      </c>
      <c r="P711">
        <v>1</v>
      </c>
      <c r="Q711" t="s">
        <v>7</v>
      </c>
    </row>
    <row r="712" spans="1:17">
      <c r="A712" t="s">
        <v>1021</v>
      </c>
      <c r="B712" t="s">
        <v>965</v>
      </c>
      <c r="C712">
        <v>0</v>
      </c>
      <c r="E712" t="s">
        <v>1033</v>
      </c>
      <c r="F712" t="s">
        <v>1035</v>
      </c>
      <c r="G712" t="s">
        <v>961</v>
      </c>
      <c r="H712">
        <v>1.893</v>
      </c>
      <c r="K712">
        <v>108258176</v>
      </c>
      <c r="L712" s="2">
        <v>45937</v>
      </c>
      <c r="M712">
        <v>21</v>
      </c>
      <c r="N712">
        <v>1</v>
      </c>
      <c r="O712">
        <v>7</v>
      </c>
      <c r="P712">
        <v>1</v>
      </c>
      <c r="Q712" t="s">
        <v>3</v>
      </c>
    </row>
    <row r="713" spans="1:17">
      <c r="A713" t="s">
        <v>1021</v>
      </c>
      <c r="B713" t="s">
        <v>965</v>
      </c>
      <c r="C713">
        <v>0</v>
      </c>
      <c r="E713" t="s">
        <v>1033</v>
      </c>
      <c r="F713" t="s">
        <v>1035</v>
      </c>
      <c r="G713" t="s">
        <v>961</v>
      </c>
      <c r="H713">
        <v>1.893</v>
      </c>
      <c r="K713">
        <v>107576146</v>
      </c>
      <c r="L713" s="2">
        <v>45286</v>
      </c>
      <c r="M713">
        <v>23</v>
      </c>
      <c r="N713">
        <v>2</v>
      </c>
      <c r="O713">
        <v>7</v>
      </c>
      <c r="P713">
        <v>4</v>
      </c>
      <c r="Q713" t="s">
        <v>7</v>
      </c>
    </row>
    <row r="714" spans="1:17">
      <c r="A714" t="s">
        <v>1021</v>
      </c>
      <c r="B714" t="s">
        <v>965</v>
      </c>
      <c r="C714">
        <v>0</v>
      </c>
      <c r="E714" t="s">
        <v>1033</v>
      </c>
      <c r="G714" t="s">
        <v>961</v>
      </c>
      <c r="H714">
        <v>1.893</v>
      </c>
      <c r="K714">
        <v>107999203</v>
      </c>
      <c r="L714" s="2">
        <v>45679</v>
      </c>
      <c r="M714">
        <v>30</v>
      </c>
      <c r="N714">
        <v>4</v>
      </c>
      <c r="O714">
        <v>7</v>
      </c>
      <c r="P714">
        <v>1</v>
      </c>
      <c r="Q714" t="s">
        <v>7</v>
      </c>
    </row>
    <row r="715" spans="1:17">
      <c r="A715" t="s">
        <v>1021</v>
      </c>
      <c r="B715" t="s">
        <v>965</v>
      </c>
      <c r="C715">
        <v>0</v>
      </c>
      <c r="D715" t="s">
        <v>756</v>
      </c>
      <c r="E715" t="s">
        <v>1035</v>
      </c>
      <c r="F715" t="s">
        <v>1133</v>
      </c>
      <c r="G715" t="s">
        <v>961</v>
      </c>
      <c r="H715">
        <v>1.893</v>
      </c>
      <c r="K715">
        <v>108563514</v>
      </c>
      <c r="L715" s="2">
        <v>46212</v>
      </c>
      <c r="M715">
        <v>1</v>
      </c>
      <c r="N715">
        <v>2</v>
      </c>
      <c r="O715">
        <v>9</v>
      </c>
      <c r="P715">
        <v>2</v>
      </c>
      <c r="Q715" t="s">
        <v>7</v>
      </c>
    </row>
    <row r="716" spans="1:17">
      <c r="A716" t="s">
        <v>1021</v>
      </c>
      <c r="B716" t="s">
        <v>965</v>
      </c>
      <c r="C716">
        <v>0</v>
      </c>
      <c r="E716" t="s">
        <v>1035</v>
      </c>
      <c r="F716" t="s">
        <v>1098</v>
      </c>
      <c r="G716" t="s">
        <v>961</v>
      </c>
      <c r="H716">
        <v>1.893</v>
      </c>
      <c r="K716">
        <v>108329713</v>
      </c>
      <c r="L716" s="2">
        <v>45996</v>
      </c>
      <c r="M716">
        <v>21</v>
      </c>
      <c r="N716">
        <v>2</v>
      </c>
      <c r="O716">
        <v>7</v>
      </c>
      <c r="P716">
        <v>1</v>
      </c>
      <c r="Q716" t="s">
        <v>3</v>
      </c>
    </row>
    <row r="717" spans="1:17">
      <c r="A717" t="s">
        <v>1021</v>
      </c>
      <c r="B717" t="s">
        <v>965</v>
      </c>
      <c r="C717">
        <v>0</v>
      </c>
      <c r="E717" t="s">
        <v>1035</v>
      </c>
      <c r="F717" t="s">
        <v>1032</v>
      </c>
      <c r="G717" t="s">
        <v>961</v>
      </c>
      <c r="H717">
        <v>1.893</v>
      </c>
      <c r="K717">
        <v>106254564</v>
      </c>
      <c r="L717" s="2">
        <v>43941</v>
      </c>
      <c r="M717">
        <v>24</v>
      </c>
      <c r="N717">
        <v>1</v>
      </c>
      <c r="O717">
        <v>7</v>
      </c>
      <c r="P717">
        <v>1</v>
      </c>
      <c r="Q717" t="s">
        <v>7</v>
      </c>
    </row>
    <row r="718" spans="1:17">
      <c r="A718" t="s">
        <v>1021</v>
      </c>
      <c r="B718" t="s">
        <v>965</v>
      </c>
      <c r="C718">
        <v>0</v>
      </c>
      <c r="E718" t="s">
        <v>1035</v>
      </c>
      <c r="F718" t="s">
        <v>1033</v>
      </c>
      <c r="G718" t="s">
        <v>961</v>
      </c>
      <c r="H718">
        <v>1.893</v>
      </c>
      <c r="K718">
        <v>106331707</v>
      </c>
      <c r="L718" s="2">
        <v>44029</v>
      </c>
      <c r="M718">
        <v>1</v>
      </c>
      <c r="N718">
        <v>1</v>
      </c>
      <c r="O718">
        <v>7</v>
      </c>
      <c r="P718">
        <v>1</v>
      </c>
      <c r="Q718" t="s">
        <v>7</v>
      </c>
    </row>
    <row r="719" spans="1:17">
      <c r="A719" t="s">
        <v>1021</v>
      </c>
      <c r="B719" t="s">
        <v>965</v>
      </c>
      <c r="C719">
        <v>0</v>
      </c>
      <c r="D719" t="s">
        <v>764</v>
      </c>
      <c r="E719" t="s">
        <v>1035</v>
      </c>
      <c r="F719" t="s">
        <v>1033</v>
      </c>
      <c r="G719" t="s">
        <v>961</v>
      </c>
      <c r="H719">
        <v>1.893</v>
      </c>
      <c r="K719">
        <v>107017648</v>
      </c>
      <c r="L719" s="2">
        <v>44759</v>
      </c>
      <c r="M719">
        <v>2</v>
      </c>
      <c r="N719">
        <v>1</v>
      </c>
      <c r="O719">
        <v>7</v>
      </c>
      <c r="P719">
        <v>1</v>
      </c>
      <c r="Q719" t="s">
        <v>8</v>
      </c>
    </row>
    <row r="720" spans="1:17">
      <c r="A720" t="s">
        <v>1021</v>
      </c>
      <c r="B720" t="s">
        <v>965</v>
      </c>
      <c r="C720">
        <v>0</v>
      </c>
      <c r="D720" t="s">
        <v>756</v>
      </c>
      <c r="E720" t="s">
        <v>1035</v>
      </c>
      <c r="F720" t="s">
        <v>1026</v>
      </c>
      <c r="G720" t="s">
        <v>961</v>
      </c>
      <c r="H720">
        <v>1.893</v>
      </c>
      <c r="K720">
        <v>107610731</v>
      </c>
      <c r="L720" s="2">
        <v>45321</v>
      </c>
      <c r="M720">
        <v>30</v>
      </c>
      <c r="N720">
        <v>1</v>
      </c>
      <c r="O720">
        <v>0</v>
      </c>
      <c r="P720">
        <v>1</v>
      </c>
      <c r="Q720" t="s">
        <v>7</v>
      </c>
    </row>
    <row r="721" spans="1:17">
      <c r="A721" t="s">
        <v>754</v>
      </c>
      <c r="B721" t="s">
        <v>961</v>
      </c>
      <c r="C721">
        <v>0</v>
      </c>
      <c r="E721" t="s">
        <v>975</v>
      </c>
      <c r="F721" t="s">
        <v>977</v>
      </c>
      <c r="G721" t="s">
        <v>961</v>
      </c>
      <c r="H721">
        <v>999.99900000000002</v>
      </c>
      <c r="K721">
        <v>106471136</v>
      </c>
      <c r="L721" s="2">
        <v>44215</v>
      </c>
      <c r="M721">
        <v>21</v>
      </c>
      <c r="N721">
        <v>1</v>
      </c>
      <c r="O721">
        <v>8</v>
      </c>
      <c r="P721">
        <v>1</v>
      </c>
      <c r="Q721" t="s">
        <v>7</v>
      </c>
    </row>
    <row r="722" spans="1:17">
      <c r="A722" t="s">
        <v>1021</v>
      </c>
      <c r="B722" t="s">
        <v>961</v>
      </c>
      <c r="C722">
        <v>0</v>
      </c>
      <c r="E722" t="s">
        <v>975</v>
      </c>
      <c r="F722" t="s">
        <v>968</v>
      </c>
      <c r="G722" t="s">
        <v>961</v>
      </c>
      <c r="H722">
        <v>999.99900000000002</v>
      </c>
      <c r="K722">
        <v>106889359</v>
      </c>
      <c r="L722" s="2">
        <v>44621</v>
      </c>
      <c r="M722">
        <v>21</v>
      </c>
      <c r="N722">
        <v>1</v>
      </c>
      <c r="O722">
        <v>8</v>
      </c>
      <c r="P722">
        <v>1</v>
      </c>
      <c r="Q722" t="s">
        <v>7</v>
      </c>
    </row>
    <row r="723" spans="1:17">
      <c r="A723" t="s">
        <v>1021</v>
      </c>
      <c r="B723" t="s">
        <v>1132</v>
      </c>
      <c r="C723">
        <v>1.9E-2</v>
      </c>
      <c r="D723" t="s">
        <v>757</v>
      </c>
      <c r="E723" t="s">
        <v>966</v>
      </c>
      <c r="F723" t="s">
        <v>1152</v>
      </c>
      <c r="G723" t="s">
        <v>1153</v>
      </c>
      <c r="H723">
        <v>7.492</v>
      </c>
      <c r="K723">
        <v>105107761</v>
      </c>
      <c r="L723" s="2">
        <v>42856</v>
      </c>
      <c r="M723">
        <v>21</v>
      </c>
      <c r="N723">
        <v>1</v>
      </c>
      <c r="P723">
        <v>1</v>
      </c>
      <c r="Q723" t="s">
        <v>3</v>
      </c>
    </row>
    <row r="724" spans="1:17">
      <c r="A724" t="s">
        <v>1021</v>
      </c>
      <c r="B724" t="s">
        <v>1132</v>
      </c>
      <c r="C724">
        <v>0</v>
      </c>
      <c r="E724" t="s">
        <v>966</v>
      </c>
      <c r="F724" t="s">
        <v>1155</v>
      </c>
      <c r="G724" t="s">
        <v>1153</v>
      </c>
      <c r="H724">
        <v>7.5110000000000001</v>
      </c>
      <c r="K724">
        <v>106802403</v>
      </c>
      <c r="L724" s="2">
        <v>44523</v>
      </c>
      <c r="M724">
        <v>24</v>
      </c>
      <c r="N724">
        <v>1</v>
      </c>
      <c r="O724">
        <v>0</v>
      </c>
      <c r="P724">
        <v>1</v>
      </c>
      <c r="Q724" t="s">
        <v>7</v>
      </c>
    </row>
    <row r="725" spans="1:17">
      <c r="A725" t="s">
        <v>1021</v>
      </c>
      <c r="B725" t="s">
        <v>1132</v>
      </c>
      <c r="C725">
        <v>0</v>
      </c>
      <c r="E725" t="s">
        <v>966</v>
      </c>
      <c r="F725" t="s">
        <v>1123</v>
      </c>
      <c r="G725" t="s">
        <v>1153</v>
      </c>
      <c r="H725">
        <v>7.5110000000000001</v>
      </c>
      <c r="K725">
        <v>105792453</v>
      </c>
      <c r="L725" s="2">
        <v>43507</v>
      </c>
      <c r="M725">
        <v>19</v>
      </c>
      <c r="N725">
        <v>2</v>
      </c>
      <c r="O725">
        <v>8</v>
      </c>
      <c r="P725">
        <v>1</v>
      </c>
      <c r="Q725" t="s">
        <v>7</v>
      </c>
    </row>
    <row r="726" spans="1:17">
      <c r="A726" t="s">
        <v>1021</v>
      </c>
      <c r="B726" t="s">
        <v>1132</v>
      </c>
      <c r="C726">
        <v>0</v>
      </c>
      <c r="E726" t="s">
        <v>966</v>
      </c>
      <c r="F726" t="s">
        <v>1152</v>
      </c>
      <c r="G726" t="s">
        <v>1153</v>
      </c>
      <c r="H726">
        <v>7.5110000000000001</v>
      </c>
      <c r="K726">
        <v>105445139</v>
      </c>
      <c r="L726" s="2">
        <v>43172</v>
      </c>
      <c r="M726">
        <v>21</v>
      </c>
      <c r="N726">
        <v>1</v>
      </c>
      <c r="O726">
        <v>0</v>
      </c>
      <c r="P726">
        <v>1</v>
      </c>
      <c r="Q726" t="s">
        <v>7</v>
      </c>
    </row>
    <row r="727" spans="1:17">
      <c r="A727" t="s">
        <v>1021</v>
      </c>
      <c r="B727" t="s">
        <v>1132</v>
      </c>
      <c r="C727">
        <v>0</v>
      </c>
      <c r="E727" t="s">
        <v>966</v>
      </c>
      <c r="F727" t="s">
        <v>1152</v>
      </c>
      <c r="G727" t="s">
        <v>1153</v>
      </c>
      <c r="H727">
        <v>7.5110000000000001</v>
      </c>
      <c r="K727">
        <v>108017099</v>
      </c>
      <c r="L727" s="2">
        <v>45699</v>
      </c>
      <c r="M727">
        <v>21</v>
      </c>
      <c r="N727">
        <v>2</v>
      </c>
      <c r="O727">
        <v>8</v>
      </c>
      <c r="P727">
        <v>1</v>
      </c>
      <c r="Q727" t="s">
        <v>7</v>
      </c>
    </row>
    <row r="728" spans="1:17">
      <c r="A728" t="s">
        <v>1021</v>
      </c>
      <c r="B728" t="s">
        <v>1132</v>
      </c>
      <c r="C728">
        <v>0</v>
      </c>
      <c r="E728" t="s">
        <v>966</v>
      </c>
      <c r="F728" t="s">
        <v>1152</v>
      </c>
      <c r="G728" t="s">
        <v>1153</v>
      </c>
      <c r="H728">
        <v>7.5110000000000001</v>
      </c>
      <c r="K728">
        <v>105984045</v>
      </c>
      <c r="L728" s="2">
        <v>43698</v>
      </c>
      <c r="M728">
        <v>30</v>
      </c>
      <c r="N728">
        <v>1</v>
      </c>
      <c r="O728">
        <v>8</v>
      </c>
      <c r="P728">
        <v>1</v>
      </c>
      <c r="Q728" t="s">
        <v>7</v>
      </c>
    </row>
    <row r="729" spans="1:17">
      <c r="A729" t="s">
        <v>1021</v>
      </c>
      <c r="B729" t="s">
        <v>966</v>
      </c>
      <c r="C729">
        <v>0</v>
      </c>
      <c r="E729" t="s">
        <v>1132</v>
      </c>
      <c r="F729" t="s">
        <v>1165</v>
      </c>
      <c r="G729" t="s">
        <v>1153</v>
      </c>
      <c r="H729">
        <v>7.5110000000000001</v>
      </c>
      <c r="K729">
        <v>107250315</v>
      </c>
      <c r="L729" s="2">
        <v>44978</v>
      </c>
      <c r="M729">
        <v>21</v>
      </c>
      <c r="N729">
        <v>1</v>
      </c>
      <c r="O729">
        <v>8</v>
      </c>
      <c r="P729">
        <v>1</v>
      </c>
      <c r="Q729" t="s">
        <v>7</v>
      </c>
    </row>
    <row r="730" spans="1:17">
      <c r="A730" t="s">
        <v>1021</v>
      </c>
      <c r="B730" t="s">
        <v>966</v>
      </c>
      <c r="C730">
        <v>0</v>
      </c>
      <c r="E730" t="s">
        <v>1132</v>
      </c>
      <c r="F730" t="s">
        <v>1152</v>
      </c>
      <c r="G730" t="s">
        <v>1153</v>
      </c>
      <c r="H730">
        <v>7.5110000000000001</v>
      </c>
      <c r="K730">
        <v>106422415</v>
      </c>
      <c r="L730" s="2">
        <v>44139</v>
      </c>
      <c r="M730">
        <v>21</v>
      </c>
      <c r="N730">
        <v>1</v>
      </c>
      <c r="P730">
        <v>1</v>
      </c>
      <c r="Q730" t="s">
        <v>7</v>
      </c>
    </row>
    <row r="731" spans="1:17">
      <c r="A731" t="s">
        <v>1021</v>
      </c>
      <c r="B731" t="s">
        <v>966</v>
      </c>
      <c r="C731">
        <v>0</v>
      </c>
      <c r="E731" t="s">
        <v>1132</v>
      </c>
      <c r="F731" t="s">
        <v>1152</v>
      </c>
      <c r="G731" t="s">
        <v>1153</v>
      </c>
      <c r="H731">
        <v>7.5110000000000001</v>
      </c>
      <c r="K731">
        <v>107477913</v>
      </c>
      <c r="L731" s="2">
        <v>45202</v>
      </c>
      <c r="M731">
        <v>21</v>
      </c>
      <c r="N731">
        <v>1</v>
      </c>
      <c r="O731">
        <v>0</v>
      </c>
      <c r="P731">
        <v>1</v>
      </c>
      <c r="Q731" t="s">
        <v>7</v>
      </c>
    </row>
    <row r="732" spans="1:17">
      <c r="A732" t="s">
        <v>1021</v>
      </c>
      <c r="B732" t="s">
        <v>964</v>
      </c>
      <c r="C732">
        <v>5.7000000000000002E-2</v>
      </c>
      <c r="D732" t="s">
        <v>762</v>
      </c>
      <c r="E732" t="s">
        <v>968</v>
      </c>
      <c r="F732" t="s">
        <v>967</v>
      </c>
      <c r="G732" t="s">
        <v>960</v>
      </c>
      <c r="H732">
        <v>0</v>
      </c>
      <c r="K732">
        <v>107720324</v>
      </c>
      <c r="L732" s="2">
        <v>45427</v>
      </c>
      <c r="M732">
        <v>21</v>
      </c>
      <c r="N732">
        <v>2</v>
      </c>
      <c r="O732">
        <v>0</v>
      </c>
      <c r="P732">
        <v>1</v>
      </c>
      <c r="Q732" t="s">
        <v>7</v>
      </c>
    </row>
    <row r="733" spans="1:17">
      <c r="A733" t="s">
        <v>1021</v>
      </c>
      <c r="B733" t="s">
        <v>964</v>
      </c>
      <c r="C733">
        <v>0</v>
      </c>
      <c r="D733" t="s">
        <v>765</v>
      </c>
      <c r="E733" t="s">
        <v>968</v>
      </c>
      <c r="F733" t="s">
        <v>966</v>
      </c>
      <c r="G733" t="s">
        <v>960</v>
      </c>
      <c r="H733">
        <v>0</v>
      </c>
      <c r="K733">
        <v>105093382</v>
      </c>
      <c r="L733" s="2">
        <v>42857</v>
      </c>
      <c r="M733">
        <v>30</v>
      </c>
      <c r="N733">
        <v>1</v>
      </c>
      <c r="O733">
        <v>0</v>
      </c>
      <c r="P733">
        <v>1</v>
      </c>
      <c r="Q733" t="s">
        <v>7</v>
      </c>
    </row>
    <row r="734" spans="1:17">
      <c r="A734" t="s">
        <v>1021</v>
      </c>
      <c r="B734" t="s">
        <v>964</v>
      </c>
      <c r="C734">
        <v>2E-3</v>
      </c>
      <c r="D734" t="s">
        <v>764</v>
      </c>
      <c r="E734" t="s">
        <v>968</v>
      </c>
      <c r="F734" t="s">
        <v>967</v>
      </c>
      <c r="G734" t="s">
        <v>960</v>
      </c>
      <c r="H734">
        <v>2E-3</v>
      </c>
      <c r="K734">
        <v>108029531</v>
      </c>
      <c r="L734" s="2">
        <v>45712</v>
      </c>
      <c r="M734">
        <v>21</v>
      </c>
      <c r="N734">
        <v>1</v>
      </c>
      <c r="O734">
        <v>7</v>
      </c>
      <c r="P734">
        <v>1</v>
      </c>
      <c r="Q734" t="s">
        <v>7</v>
      </c>
    </row>
    <row r="735" spans="1:17">
      <c r="A735" t="s">
        <v>1021</v>
      </c>
      <c r="B735" t="s">
        <v>964</v>
      </c>
      <c r="C735">
        <v>4.0000000000000001E-3</v>
      </c>
      <c r="D735" t="s">
        <v>764</v>
      </c>
      <c r="E735" t="s">
        <v>968</v>
      </c>
      <c r="F735" t="s">
        <v>967</v>
      </c>
      <c r="G735" t="s">
        <v>960</v>
      </c>
      <c r="H735">
        <v>4.0000000000000001E-3</v>
      </c>
      <c r="K735">
        <v>108003839</v>
      </c>
      <c r="L735" s="2">
        <v>45630</v>
      </c>
      <c r="M735">
        <v>21</v>
      </c>
      <c r="N735">
        <v>1</v>
      </c>
      <c r="O735">
        <v>7</v>
      </c>
      <c r="P735">
        <v>1</v>
      </c>
      <c r="Q735" t="s">
        <v>7</v>
      </c>
    </row>
    <row r="736" spans="1:17">
      <c r="A736" t="s">
        <v>1021</v>
      </c>
      <c r="B736" t="s">
        <v>964</v>
      </c>
      <c r="C736">
        <v>1.9E-2</v>
      </c>
      <c r="D736" t="s">
        <v>757</v>
      </c>
      <c r="E736" t="s">
        <v>968</v>
      </c>
      <c r="F736" t="s">
        <v>966</v>
      </c>
      <c r="G736" t="s">
        <v>960</v>
      </c>
      <c r="H736">
        <v>1.9E-2</v>
      </c>
      <c r="K736">
        <v>106802233</v>
      </c>
      <c r="L736" s="2">
        <v>44452</v>
      </c>
      <c r="M736">
        <v>21</v>
      </c>
      <c r="N736">
        <v>1</v>
      </c>
      <c r="O736">
        <v>0</v>
      </c>
      <c r="P736">
        <v>1</v>
      </c>
      <c r="Q736" t="s">
        <v>7</v>
      </c>
    </row>
    <row r="737" spans="1:17">
      <c r="A737" t="s">
        <v>1021</v>
      </c>
      <c r="B737" t="s">
        <v>964</v>
      </c>
      <c r="C737">
        <v>3.7999999999999999E-2</v>
      </c>
      <c r="D737" t="s">
        <v>756</v>
      </c>
      <c r="E737" t="s">
        <v>968</v>
      </c>
      <c r="F737" t="s">
        <v>985</v>
      </c>
      <c r="G737" t="s">
        <v>960</v>
      </c>
      <c r="H737">
        <v>3.7999999999999999E-2</v>
      </c>
      <c r="K737">
        <v>108385753</v>
      </c>
      <c r="L737" s="2">
        <v>46051</v>
      </c>
      <c r="M737">
        <v>21</v>
      </c>
      <c r="N737">
        <v>1</v>
      </c>
      <c r="O737">
        <v>0</v>
      </c>
      <c r="P737">
        <v>5</v>
      </c>
      <c r="Q737" t="s">
        <v>7</v>
      </c>
    </row>
    <row r="738" spans="1:17">
      <c r="A738" t="s">
        <v>1021</v>
      </c>
      <c r="B738" t="s">
        <v>964</v>
      </c>
      <c r="C738">
        <v>0.114</v>
      </c>
      <c r="D738" t="s">
        <v>764</v>
      </c>
      <c r="E738" t="s">
        <v>968</v>
      </c>
      <c r="F738" t="s">
        <v>967</v>
      </c>
      <c r="G738" t="s">
        <v>960</v>
      </c>
      <c r="H738">
        <v>0.114</v>
      </c>
      <c r="K738">
        <v>105472361</v>
      </c>
      <c r="L738" s="2">
        <v>43215</v>
      </c>
      <c r="M738">
        <v>21</v>
      </c>
      <c r="N738">
        <v>1</v>
      </c>
      <c r="O738">
        <v>4</v>
      </c>
      <c r="P738">
        <v>1</v>
      </c>
      <c r="Q738" t="s">
        <v>7</v>
      </c>
    </row>
    <row r="739" spans="1:17">
      <c r="A739" t="s">
        <v>1021</v>
      </c>
      <c r="B739" t="s">
        <v>964</v>
      </c>
      <c r="C739">
        <v>0.54</v>
      </c>
      <c r="D739" t="s">
        <v>758</v>
      </c>
      <c r="E739" t="s">
        <v>967</v>
      </c>
      <c r="F739" t="s">
        <v>968</v>
      </c>
      <c r="G739" t="s">
        <v>960</v>
      </c>
      <c r="H739">
        <v>0.187</v>
      </c>
      <c r="K739">
        <v>106975815</v>
      </c>
      <c r="L739" s="2">
        <v>44713</v>
      </c>
      <c r="M739">
        <v>21</v>
      </c>
      <c r="N739">
        <v>1</v>
      </c>
      <c r="O739">
        <v>0</v>
      </c>
      <c r="P739">
        <v>1</v>
      </c>
      <c r="Q739" t="s">
        <v>7</v>
      </c>
    </row>
    <row r="740" spans="1:17">
      <c r="A740" t="s">
        <v>1021</v>
      </c>
      <c r="B740" t="s">
        <v>964</v>
      </c>
      <c r="C740">
        <v>0.2</v>
      </c>
      <c r="D740" t="s">
        <v>764</v>
      </c>
      <c r="E740" t="s">
        <v>968</v>
      </c>
      <c r="F740" t="s">
        <v>1072</v>
      </c>
      <c r="G740" t="s">
        <v>960</v>
      </c>
      <c r="H740">
        <v>0.2</v>
      </c>
      <c r="K740">
        <v>105752254</v>
      </c>
      <c r="L740" s="2">
        <v>43469</v>
      </c>
      <c r="M740">
        <v>1</v>
      </c>
      <c r="N740">
        <v>2</v>
      </c>
      <c r="O740">
        <v>0</v>
      </c>
      <c r="P740">
        <v>1</v>
      </c>
      <c r="Q740" t="s">
        <v>7</v>
      </c>
    </row>
    <row r="741" spans="1:17">
      <c r="A741" t="s">
        <v>1021</v>
      </c>
      <c r="B741" t="s">
        <v>964</v>
      </c>
      <c r="C741">
        <v>0.48499999999999999</v>
      </c>
      <c r="D741" t="s">
        <v>758</v>
      </c>
      <c r="E741" t="s">
        <v>966</v>
      </c>
      <c r="F741" t="s">
        <v>968</v>
      </c>
      <c r="G741" t="s">
        <v>960</v>
      </c>
      <c r="H741">
        <v>0.24199999999999999</v>
      </c>
      <c r="K741">
        <v>106802248</v>
      </c>
      <c r="L741" s="2">
        <v>44461</v>
      </c>
      <c r="M741">
        <v>21</v>
      </c>
      <c r="N741">
        <v>2</v>
      </c>
      <c r="O741">
        <v>0</v>
      </c>
      <c r="P741">
        <v>1</v>
      </c>
      <c r="Q741" t="s">
        <v>7</v>
      </c>
    </row>
    <row r="742" spans="1:17">
      <c r="A742" t="s">
        <v>1021</v>
      </c>
      <c r="B742" t="s">
        <v>964</v>
      </c>
      <c r="C742">
        <v>0.25</v>
      </c>
      <c r="D742" t="s">
        <v>756</v>
      </c>
      <c r="E742" t="s">
        <v>968</v>
      </c>
      <c r="F742" t="s">
        <v>966</v>
      </c>
      <c r="G742" t="s">
        <v>960</v>
      </c>
      <c r="H742">
        <v>0.25</v>
      </c>
      <c r="K742">
        <v>107845682</v>
      </c>
      <c r="L742" s="2">
        <v>45546</v>
      </c>
      <c r="M742">
        <v>28</v>
      </c>
      <c r="N742">
        <v>1</v>
      </c>
      <c r="O742">
        <v>0</v>
      </c>
      <c r="P742">
        <v>1</v>
      </c>
      <c r="Q742" t="s">
        <v>7</v>
      </c>
    </row>
    <row r="743" spans="1:17">
      <c r="A743" t="s">
        <v>1021</v>
      </c>
      <c r="B743" t="s">
        <v>964</v>
      </c>
      <c r="C743">
        <v>0.25</v>
      </c>
      <c r="D743" t="s">
        <v>756</v>
      </c>
      <c r="E743" t="s">
        <v>1080</v>
      </c>
      <c r="F743" t="s">
        <v>1140</v>
      </c>
      <c r="G743" t="s">
        <v>960</v>
      </c>
      <c r="H743">
        <v>0.25</v>
      </c>
      <c r="K743">
        <v>106863687</v>
      </c>
      <c r="L743" s="2">
        <v>44606</v>
      </c>
      <c r="M743">
        <v>21</v>
      </c>
      <c r="N743">
        <v>1</v>
      </c>
      <c r="O743">
        <v>0</v>
      </c>
      <c r="P743">
        <v>1</v>
      </c>
      <c r="Q743" t="s">
        <v>3</v>
      </c>
    </row>
    <row r="744" spans="1:17">
      <c r="A744" t="s">
        <v>1021</v>
      </c>
      <c r="B744" t="s">
        <v>964</v>
      </c>
      <c r="C744">
        <v>0.3</v>
      </c>
      <c r="D744" t="s">
        <v>764</v>
      </c>
      <c r="E744" t="s">
        <v>968</v>
      </c>
      <c r="F744" t="s">
        <v>966</v>
      </c>
      <c r="G744" t="s">
        <v>960</v>
      </c>
      <c r="H744">
        <v>0.3</v>
      </c>
      <c r="K744">
        <v>106223030</v>
      </c>
      <c r="L744" s="2">
        <v>43895</v>
      </c>
      <c r="M744">
        <v>30</v>
      </c>
      <c r="N744">
        <v>1</v>
      </c>
      <c r="O744">
        <v>4</v>
      </c>
      <c r="P744">
        <v>1</v>
      </c>
      <c r="Q744" t="s">
        <v>7</v>
      </c>
    </row>
    <row r="745" spans="1:17">
      <c r="A745" t="s">
        <v>1021</v>
      </c>
      <c r="B745" t="s">
        <v>964</v>
      </c>
      <c r="C745">
        <v>0.4</v>
      </c>
      <c r="D745" t="s">
        <v>764</v>
      </c>
      <c r="E745" t="s">
        <v>967</v>
      </c>
      <c r="F745" t="s">
        <v>968</v>
      </c>
      <c r="G745" t="s">
        <v>960</v>
      </c>
      <c r="H745">
        <v>0.32700000000000001</v>
      </c>
      <c r="K745">
        <v>105007263</v>
      </c>
      <c r="L745" s="2">
        <v>42753</v>
      </c>
      <c r="M745">
        <v>30</v>
      </c>
      <c r="N745">
        <v>1</v>
      </c>
      <c r="O745">
        <v>9</v>
      </c>
      <c r="P745">
        <v>1</v>
      </c>
      <c r="Q745" t="s">
        <v>3</v>
      </c>
    </row>
    <row r="746" spans="1:17">
      <c r="A746" t="s">
        <v>1021</v>
      </c>
      <c r="B746" t="s">
        <v>964</v>
      </c>
      <c r="C746">
        <v>0.3</v>
      </c>
      <c r="D746" t="s">
        <v>757</v>
      </c>
      <c r="E746" t="s">
        <v>966</v>
      </c>
      <c r="F746" t="s">
        <v>968</v>
      </c>
      <c r="G746" t="s">
        <v>960</v>
      </c>
      <c r="H746">
        <v>0.42699999999999999</v>
      </c>
      <c r="K746">
        <v>105277887</v>
      </c>
      <c r="L746" s="2">
        <v>43026</v>
      </c>
      <c r="M746">
        <v>21</v>
      </c>
      <c r="N746">
        <v>1</v>
      </c>
      <c r="O746">
        <v>0</v>
      </c>
      <c r="P746">
        <v>1</v>
      </c>
      <c r="Q746" t="s">
        <v>7</v>
      </c>
    </row>
    <row r="747" spans="1:17">
      <c r="A747" t="s">
        <v>1021</v>
      </c>
      <c r="B747" t="s">
        <v>964</v>
      </c>
      <c r="C747">
        <v>0.2</v>
      </c>
      <c r="D747" t="s">
        <v>758</v>
      </c>
      <c r="E747" t="s">
        <v>966</v>
      </c>
      <c r="F747" t="s">
        <v>1103</v>
      </c>
      <c r="G747" t="s">
        <v>960</v>
      </c>
      <c r="H747">
        <v>0.52700000000000002</v>
      </c>
      <c r="K747">
        <v>105792462</v>
      </c>
      <c r="L747" s="2">
        <v>43516</v>
      </c>
      <c r="M747">
        <v>30</v>
      </c>
      <c r="N747">
        <v>2</v>
      </c>
      <c r="O747">
        <v>8</v>
      </c>
      <c r="P747">
        <v>1</v>
      </c>
      <c r="Q747" t="s">
        <v>7</v>
      </c>
    </row>
    <row r="748" spans="1:17">
      <c r="A748" t="s">
        <v>1021</v>
      </c>
      <c r="B748" t="s">
        <v>964</v>
      </c>
      <c r="C748">
        <v>0.1</v>
      </c>
      <c r="D748" t="s">
        <v>758</v>
      </c>
      <c r="E748" t="s">
        <v>967</v>
      </c>
      <c r="F748" t="s">
        <v>966</v>
      </c>
      <c r="G748" t="s">
        <v>960</v>
      </c>
      <c r="H748">
        <v>0.627</v>
      </c>
      <c r="K748">
        <v>106095425</v>
      </c>
      <c r="L748" s="2">
        <v>43784</v>
      </c>
      <c r="M748">
        <v>31</v>
      </c>
      <c r="N748">
        <v>2</v>
      </c>
      <c r="O748">
        <v>0</v>
      </c>
      <c r="P748">
        <v>4</v>
      </c>
    </row>
    <row r="749" spans="1:17">
      <c r="A749" t="s">
        <v>1021</v>
      </c>
      <c r="B749" t="s">
        <v>964</v>
      </c>
      <c r="C749">
        <v>0.09</v>
      </c>
      <c r="D749" t="s">
        <v>763</v>
      </c>
      <c r="E749" t="s">
        <v>967</v>
      </c>
      <c r="F749" t="s">
        <v>968</v>
      </c>
      <c r="G749" t="s">
        <v>960</v>
      </c>
      <c r="H749">
        <v>0.63700000000000001</v>
      </c>
      <c r="K749">
        <v>106022033</v>
      </c>
      <c r="L749" s="2">
        <v>43735</v>
      </c>
      <c r="M749">
        <v>21</v>
      </c>
      <c r="N749">
        <v>1</v>
      </c>
      <c r="O749">
        <v>0</v>
      </c>
      <c r="P749">
        <v>1</v>
      </c>
      <c r="Q749" t="s">
        <v>7</v>
      </c>
    </row>
    <row r="750" spans="1:17">
      <c r="A750" t="s">
        <v>1021</v>
      </c>
      <c r="B750" t="s">
        <v>964</v>
      </c>
      <c r="C750">
        <v>2.5000000000000001E-2</v>
      </c>
      <c r="D750" t="s">
        <v>763</v>
      </c>
      <c r="E750" t="s">
        <v>966</v>
      </c>
      <c r="F750" t="s">
        <v>1122</v>
      </c>
      <c r="G750" t="s">
        <v>960</v>
      </c>
      <c r="H750">
        <v>0.70199999999999996</v>
      </c>
      <c r="K750">
        <v>106167169</v>
      </c>
      <c r="L750" s="2">
        <v>43837</v>
      </c>
      <c r="M750">
        <v>21</v>
      </c>
      <c r="N750">
        <v>2</v>
      </c>
      <c r="O750">
        <v>10</v>
      </c>
      <c r="P750">
        <v>1</v>
      </c>
      <c r="Q750" t="s">
        <v>7</v>
      </c>
    </row>
    <row r="751" spans="1:17">
      <c r="A751" t="s">
        <v>1021</v>
      </c>
      <c r="B751" t="s">
        <v>964</v>
      </c>
      <c r="C751">
        <v>2.1999999999999999E-2</v>
      </c>
      <c r="D751" t="s">
        <v>763</v>
      </c>
      <c r="E751" t="s">
        <v>966</v>
      </c>
      <c r="F751" t="s">
        <v>968</v>
      </c>
      <c r="G751" t="s">
        <v>960</v>
      </c>
      <c r="H751">
        <v>0.70499999999999996</v>
      </c>
      <c r="K751">
        <v>108390439</v>
      </c>
      <c r="L751" s="2">
        <v>46056</v>
      </c>
      <c r="M751">
        <v>19</v>
      </c>
      <c r="N751">
        <v>5</v>
      </c>
      <c r="O751">
        <v>10</v>
      </c>
      <c r="P751">
        <v>1</v>
      </c>
    </row>
    <row r="752" spans="1:17">
      <c r="A752" t="s">
        <v>1021</v>
      </c>
      <c r="B752" t="s">
        <v>964</v>
      </c>
      <c r="C752">
        <v>1.4E-2</v>
      </c>
      <c r="D752" t="s">
        <v>758</v>
      </c>
      <c r="E752" t="s">
        <v>967</v>
      </c>
      <c r="F752" t="s">
        <v>968</v>
      </c>
      <c r="G752" t="s">
        <v>960</v>
      </c>
      <c r="H752">
        <v>0.71299999999999997</v>
      </c>
      <c r="K752">
        <v>106842220</v>
      </c>
      <c r="L752" s="2">
        <v>44586</v>
      </c>
      <c r="M752">
        <v>24</v>
      </c>
      <c r="N752">
        <v>1</v>
      </c>
      <c r="O752">
        <v>0</v>
      </c>
      <c r="P752">
        <v>1</v>
      </c>
      <c r="Q752" t="s">
        <v>7</v>
      </c>
    </row>
    <row r="753" spans="1:23">
      <c r="A753" t="s">
        <v>1021</v>
      </c>
      <c r="B753" t="s">
        <v>964</v>
      </c>
      <c r="C753">
        <v>0.01</v>
      </c>
      <c r="D753" t="s">
        <v>763</v>
      </c>
      <c r="E753" t="s">
        <v>966</v>
      </c>
      <c r="F753" t="s">
        <v>968</v>
      </c>
      <c r="G753" t="s">
        <v>960</v>
      </c>
      <c r="H753">
        <v>0.71699999999999997</v>
      </c>
      <c r="K753">
        <v>106825139</v>
      </c>
      <c r="L753" s="2">
        <v>44567</v>
      </c>
      <c r="M753">
        <v>30</v>
      </c>
      <c r="N753">
        <v>1</v>
      </c>
      <c r="O753">
        <v>8</v>
      </c>
      <c r="P753">
        <v>1</v>
      </c>
      <c r="Q753" t="s">
        <v>7</v>
      </c>
    </row>
    <row r="754" spans="1:23">
      <c r="A754" t="s">
        <v>1021</v>
      </c>
      <c r="B754" t="s">
        <v>964</v>
      </c>
      <c r="C754">
        <v>8.9999999999999993E-3</v>
      </c>
      <c r="D754" t="s">
        <v>758</v>
      </c>
      <c r="E754" t="s">
        <v>966</v>
      </c>
      <c r="F754" t="s">
        <v>967</v>
      </c>
      <c r="G754" t="s">
        <v>960</v>
      </c>
      <c r="H754">
        <v>0.71799999999999997</v>
      </c>
      <c r="K754">
        <v>105329577</v>
      </c>
      <c r="L754" s="2">
        <v>43071</v>
      </c>
      <c r="M754">
        <v>1</v>
      </c>
      <c r="N754">
        <v>2</v>
      </c>
      <c r="O754">
        <v>10</v>
      </c>
      <c r="P754">
        <v>1</v>
      </c>
      <c r="Q754" t="s">
        <v>7</v>
      </c>
    </row>
    <row r="755" spans="1:23">
      <c r="A755" t="s">
        <v>1021</v>
      </c>
      <c r="B755" t="s">
        <v>966</v>
      </c>
      <c r="C755">
        <v>0</v>
      </c>
      <c r="E755" t="s">
        <v>964</v>
      </c>
      <c r="G755" t="s">
        <v>960</v>
      </c>
      <c r="H755">
        <v>0.72699999999999998</v>
      </c>
      <c r="K755">
        <v>108450173</v>
      </c>
      <c r="L755" s="2">
        <v>46107</v>
      </c>
      <c r="M755">
        <v>26</v>
      </c>
      <c r="N755">
        <v>1</v>
      </c>
      <c r="O755">
        <v>10</v>
      </c>
      <c r="P755">
        <v>1</v>
      </c>
      <c r="Q755" t="s">
        <v>7</v>
      </c>
    </row>
    <row r="756" spans="1:23">
      <c r="A756" t="s">
        <v>1021</v>
      </c>
      <c r="B756" t="s">
        <v>964</v>
      </c>
      <c r="C756">
        <v>0</v>
      </c>
      <c r="E756" t="s">
        <v>967</v>
      </c>
      <c r="F756" t="s">
        <v>966</v>
      </c>
      <c r="G756" t="s">
        <v>960</v>
      </c>
      <c r="H756">
        <v>0.72699999999999998</v>
      </c>
      <c r="K756">
        <v>106845781</v>
      </c>
      <c r="L756" s="2">
        <v>44590</v>
      </c>
      <c r="M756">
        <v>19</v>
      </c>
      <c r="N756">
        <v>4</v>
      </c>
      <c r="O756">
        <v>10</v>
      </c>
      <c r="P756">
        <v>1</v>
      </c>
      <c r="Q756" t="s">
        <v>7</v>
      </c>
    </row>
    <row r="757" spans="1:23">
      <c r="A757" t="s">
        <v>1021</v>
      </c>
      <c r="B757" t="s">
        <v>967</v>
      </c>
      <c r="C757">
        <v>1.9E-2</v>
      </c>
      <c r="D757" t="s">
        <v>757</v>
      </c>
      <c r="E757" t="s">
        <v>1029</v>
      </c>
      <c r="F757" t="s">
        <v>966</v>
      </c>
      <c r="G757" t="s">
        <v>960</v>
      </c>
      <c r="H757">
        <v>0.89200000000000002</v>
      </c>
      <c r="K757">
        <v>107314311</v>
      </c>
      <c r="L757" s="2">
        <v>45042</v>
      </c>
      <c r="M757">
        <v>21</v>
      </c>
      <c r="N757">
        <v>2</v>
      </c>
      <c r="O757">
        <v>0</v>
      </c>
      <c r="P757">
        <v>1</v>
      </c>
      <c r="Q757" t="s">
        <v>3</v>
      </c>
    </row>
    <row r="758" spans="1:23">
      <c r="A758" t="s">
        <v>1021</v>
      </c>
      <c r="B758" t="s">
        <v>967</v>
      </c>
      <c r="C758">
        <v>0</v>
      </c>
      <c r="E758" t="s">
        <v>1029</v>
      </c>
      <c r="F758" t="s">
        <v>1176</v>
      </c>
      <c r="G758" t="s">
        <v>960</v>
      </c>
      <c r="H758">
        <v>0.91100000000000003</v>
      </c>
      <c r="K758">
        <v>107830904</v>
      </c>
      <c r="L758" s="2">
        <v>45531</v>
      </c>
      <c r="M758">
        <v>24</v>
      </c>
      <c r="N758">
        <v>1</v>
      </c>
      <c r="O758">
        <v>8</v>
      </c>
      <c r="P758">
        <v>1</v>
      </c>
      <c r="Q758" t="s">
        <v>7</v>
      </c>
    </row>
    <row r="759" spans="1:23">
      <c r="A759" t="s">
        <v>1021</v>
      </c>
      <c r="B759" t="s">
        <v>967</v>
      </c>
      <c r="C759">
        <v>0</v>
      </c>
      <c r="E759" t="s">
        <v>1029</v>
      </c>
      <c r="F759" t="s">
        <v>966</v>
      </c>
      <c r="G759" t="s">
        <v>960</v>
      </c>
      <c r="H759">
        <v>0.91100000000000003</v>
      </c>
      <c r="K759">
        <v>107685715</v>
      </c>
      <c r="L759" s="2">
        <v>45393</v>
      </c>
      <c r="M759">
        <v>1</v>
      </c>
      <c r="N759">
        <v>2</v>
      </c>
      <c r="O759">
        <v>0</v>
      </c>
      <c r="P759">
        <v>1</v>
      </c>
      <c r="Q759" t="s">
        <v>7</v>
      </c>
    </row>
    <row r="760" spans="1:23">
      <c r="A760" t="s">
        <v>1021</v>
      </c>
      <c r="B760" t="s">
        <v>967</v>
      </c>
      <c r="C760">
        <v>0</v>
      </c>
      <c r="E760" t="s">
        <v>1029</v>
      </c>
      <c r="F760" t="s">
        <v>966</v>
      </c>
      <c r="G760" t="s">
        <v>960</v>
      </c>
      <c r="H760">
        <v>0.91100000000000003</v>
      </c>
      <c r="K760">
        <v>108444655</v>
      </c>
      <c r="L760" s="2">
        <v>46106</v>
      </c>
      <c r="M760">
        <v>30</v>
      </c>
      <c r="N760">
        <v>1</v>
      </c>
      <c r="O760">
        <v>8</v>
      </c>
      <c r="P760">
        <v>1</v>
      </c>
      <c r="Q760" t="s">
        <v>7</v>
      </c>
    </row>
    <row r="761" spans="1:23">
      <c r="A761" t="s">
        <v>1021</v>
      </c>
      <c r="B761" t="s">
        <v>967</v>
      </c>
      <c r="C761">
        <v>0</v>
      </c>
      <c r="E761" t="s">
        <v>1029</v>
      </c>
      <c r="F761" t="s">
        <v>966</v>
      </c>
      <c r="G761" t="s">
        <v>960</v>
      </c>
      <c r="H761">
        <v>0.91100000000000003</v>
      </c>
      <c r="K761">
        <v>108462353</v>
      </c>
      <c r="L761" s="2">
        <v>46124</v>
      </c>
      <c r="M761">
        <v>30</v>
      </c>
      <c r="N761">
        <v>1</v>
      </c>
      <c r="O761">
        <v>8</v>
      </c>
      <c r="P761">
        <v>1</v>
      </c>
      <c r="Q761" t="s">
        <v>7</v>
      </c>
    </row>
    <row r="762" spans="1:23">
      <c r="A762" t="s">
        <v>1021</v>
      </c>
      <c r="B762" t="s">
        <v>967</v>
      </c>
      <c r="C762">
        <v>0</v>
      </c>
      <c r="E762" t="s">
        <v>1029</v>
      </c>
      <c r="F762" t="s">
        <v>965</v>
      </c>
      <c r="G762" t="s">
        <v>960</v>
      </c>
      <c r="H762">
        <v>0.91100000000000003</v>
      </c>
      <c r="J762" t="s">
        <v>1208</v>
      </c>
      <c r="K762">
        <v>106211378</v>
      </c>
      <c r="L762" s="2">
        <v>43870</v>
      </c>
      <c r="M762">
        <v>30</v>
      </c>
      <c r="N762">
        <v>2</v>
      </c>
      <c r="O762">
        <v>8</v>
      </c>
      <c r="P762">
        <v>4</v>
      </c>
      <c r="Q762" t="s">
        <v>7</v>
      </c>
      <c r="W762" t="s">
        <v>1351</v>
      </c>
    </row>
    <row r="763" spans="1:23">
      <c r="A763" t="s">
        <v>1021</v>
      </c>
      <c r="B763" t="s">
        <v>967</v>
      </c>
      <c r="C763">
        <v>0</v>
      </c>
      <c r="E763" t="s">
        <v>1029</v>
      </c>
      <c r="F763" t="s">
        <v>1019</v>
      </c>
      <c r="G763" t="s">
        <v>960</v>
      </c>
      <c r="H763">
        <v>0.91100000000000003</v>
      </c>
      <c r="K763">
        <v>105257907</v>
      </c>
      <c r="L763" s="2">
        <v>43018</v>
      </c>
      <c r="M763">
        <v>21</v>
      </c>
      <c r="N763">
        <v>2</v>
      </c>
      <c r="O763">
        <v>8</v>
      </c>
      <c r="P763">
        <v>1</v>
      </c>
      <c r="Q763" t="s">
        <v>7</v>
      </c>
    </row>
    <row r="764" spans="1:23">
      <c r="A764" t="s">
        <v>1021</v>
      </c>
      <c r="B764" t="s">
        <v>967</v>
      </c>
      <c r="C764">
        <v>0</v>
      </c>
      <c r="E764" t="s">
        <v>1029</v>
      </c>
      <c r="F764" t="s">
        <v>1019</v>
      </c>
      <c r="G764" t="s">
        <v>960</v>
      </c>
      <c r="H764">
        <v>0.91100000000000003</v>
      </c>
      <c r="K764">
        <v>106211354</v>
      </c>
      <c r="L764" s="2">
        <v>43880</v>
      </c>
      <c r="M764">
        <v>21</v>
      </c>
      <c r="N764">
        <v>2</v>
      </c>
      <c r="O764">
        <v>0</v>
      </c>
      <c r="P764">
        <v>1</v>
      </c>
      <c r="Q764" t="s">
        <v>7</v>
      </c>
    </row>
    <row r="765" spans="1:23">
      <c r="A765" t="s">
        <v>1021</v>
      </c>
      <c r="B765" t="s">
        <v>1029</v>
      </c>
      <c r="C765">
        <v>0</v>
      </c>
      <c r="E765" t="s">
        <v>967</v>
      </c>
      <c r="F765" t="s">
        <v>966</v>
      </c>
      <c r="G765" t="s">
        <v>960</v>
      </c>
      <c r="H765">
        <v>0.91100000000000003</v>
      </c>
      <c r="K765">
        <v>108463514</v>
      </c>
      <c r="L765" s="2">
        <v>46125</v>
      </c>
      <c r="M765">
        <v>19</v>
      </c>
      <c r="N765">
        <v>1</v>
      </c>
      <c r="O765">
        <v>0</v>
      </c>
      <c r="P765">
        <v>1</v>
      </c>
      <c r="Q765" t="s">
        <v>7</v>
      </c>
    </row>
    <row r="766" spans="1:23">
      <c r="A766" t="s">
        <v>1021</v>
      </c>
      <c r="B766" t="s">
        <v>967</v>
      </c>
      <c r="C766">
        <v>5.7000000000000002E-2</v>
      </c>
      <c r="D766" t="s">
        <v>6</v>
      </c>
      <c r="E766" t="s">
        <v>1029</v>
      </c>
      <c r="F766" t="s">
        <v>1019</v>
      </c>
      <c r="G766" t="s">
        <v>960</v>
      </c>
      <c r="H766">
        <v>0.96799999999999997</v>
      </c>
      <c r="K766">
        <v>106802305</v>
      </c>
      <c r="L766" s="2">
        <v>44490</v>
      </c>
      <c r="M766">
        <v>21</v>
      </c>
      <c r="N766">
        <v>1</v>
      </c>
      <c r="O766">
        <v>0</v>
      </c>
      <c r="P766">
        <v>1</v>
      </c>
      <c r="Q766" t="s">
        <v>3</v>
      </c>
    </row>
    <row r="767" spans="1:23">
      <c r="A767" t="s">
        <v>1021</v>
      </c>
      <c r="B767" t="s">
        <v>967</v>
      </c>
      <c r="C767">
        <v>0.1</v>
      </c>
      <c r="D767" t="s">
        <v>6</v>
      </c>
      <c r="E767" t="s">
        <v>1029</v>
      </c>
      <c r="F767" t="s">
        <v>965</v>
      </c>
      <c r="G767" t="s">
        <v>960</v>
      </c>
      <c r="H767">
        <v>1.0109999999999999</v>
      </c>
      <c r="J767" t="s">
        <v>1208</v>
      </c>
      <c r="K767">
        <v>107753861</v>
      </c>
      <c r="L767" s="2">
        <v>45459</v>
      </c>
      <c r="M767">
        <v>19</v>
      </c>
      <c r="N767">
        <v>1</v>
      </c>
      <c r="O767">
        <v>0</v>
      </c>
      <c r="P767">
        <v>1</v>
      </c>
      <c r="Q767" t="s">
        <v>7</v>
      </c>
      <c r="W767" t="s">
        <v>1352</v>
      </c>
    </row>
    <row r="768" spans="1:23">
      <c r="A768" t="s">
        <v>1021</v>
      </c>
      <c r="B768" t="s">
        <v>967</v>
      </c>
      <c r="C768">
        <v>0.37</v>
      </c>
      <c r="D768" t="s">
        <v>764</v>
      </c>
      <c r="E768" t="s">
        <v>965</v>
      </c>
      <c r="F768" t="s">
        <v>1029</v>
      </c>
      <c r="G768" t="s">
        <v>960</v>
      </c>
      <c r="H768">
        <v>1.119</v>
      </c>
      <c r="J768" t="s">
        <v>1208</v>
      </c>
      <c r="K768">
        <v>107149980</v>
      </c>
      <c r="L768" s="2">
        <v>44861</v>
      </c>
      <c r="M768">
        <v>2</v>
      </c>
      <c r="N768">
        <v>1</v>
      </c>
      <c r="O768">
        <v>0</v>
      </c>
      <c r="P768">
        <v>1</v>
      </c>
      <c r="Q768" t="s">
        <v>7</v>
      </c>
      <c r="W768" t="s">
        <v>1348</v>
      </c>
    </row>
    <row r="769" spans="1:28">
      <c r="A769" t="s">
        <v>1021</v>
      </c>
      <c r="B769" t="s">
        <v>967</v>
      </c>
      <c r="C769">
        <v>0.1</v>
      </c>
      <c r="D769" t="s">
        <v>757</v>
      </c>
      <c r="E769" t="s">
        <v>1019</v>
      </c>
      <c r="F769" t="s">
        <v>1029</v>
      </c>
      <c r="G769" t="s">
        <v>960</v>
      </c>
      <c r="H769">
        <v>1.1439999999999999</v>
      </c>
      <c r="K769">
        <v>107149996</v>
      </c>
      <c r="L769" s="2">
        <v>44866</v>
      </c>
      <c r="M769">
        <v>22</v>
      </c>
      <c r="N769">
        <v>1</v>
      </c>
      <c r="O769">
        <v>0</v>
      </c>
      <c r="P769">
        <v>1</v>
      </c>
      <c r="Q769" t="s">
        <v>7</v>
      </c>
    </row>
    <row r="770" spans="1:28">
      <c r="A770" t="s">
        <v>1017</v>
      </c>
      <c r="B770" t="s">
        <v>967</v>
      </c>
      <c r="C770">
        <v>7.0000000000000007E-2</v>
      </c>
      <c r="D770" t="s">
        <v>758</v>
      </c>
      <c r="E770" t="s">
        <v>1018</v>
      </c>
      <c r="F770" t="s">
        <v>1019</v>
      </c>
      <c r="G770" t="s">
        <v>960</v>
      </c>
      <c r="H770">
        <v>1.292</v>
      </c>
      <c r="K770">
        <v>105138045</v>
      </c>
      <c r="L770" s="2">
        <v>42888</v>
      </c>
      <c r="M770">
        <v>30</v>
      </c>
      <c r="N770">
        <v>1</v>
      </c>
      <c r="O770">
        <v>0</v>
      </c>
      <c r="P770">
        <v>1</v>
      </c>
      <c r="Q770" t="s">
        <v>8</v>
      </c>
    </row>
    <row r="771" spans="1:28">
      <c r="A771" t="s">
        <v>1021</v>
      </c>
      <c r="B771" t="s">
        <v>967</v>
      </c>
      <c r="C771">
        <v>0</v>
      </c>
      <c r="E771" t="s">
        <v>1018</v>
      </c>
      <c r="F771" t="s">
        <v>1019</v>
      </c>
      <c r="G771" t="s">
        <v>960</v>
      </c>
      <c r="H771">
        <v>1.3620000000000001</v>
      </c>
      <c r="K771">
        <v>106529572</v>
      </c>
      <c r="L771" s="2">
        <v>44202</v>
      </c>
      <c r="M771">
        <v>26</v>
      </c>
      <c r="N771">
        <v>1</v>
      </c>
      <c r="O771">
        <v>8</v>
      </c>
      <c r="P771">
        <v>5</v>
      </c>
    </row>
    <row r="772" spans="1:28">
      <c r="A772" t="s">
        <v>1021</v>
      </c>
      <c r="B772" t="s">
        <v>1018</v>
      </c>
      <c r="C772">
        <v>0</v>
      </c>
      <c r="E772" t="s">
        <v>967</v>
      </c>
      <c r="F772" t="s">
        <v>1019</v>
      </c>
      <c r="G772" t="s">
        <v>960</v>
      </c>
      <c r="H772">
        <v>1.3620000000000001</v>
      </c>
      <c r="K772">
        <v>108476825</v>
      </c>
      <c r="L772" s="2">
        <v>46137</v>
      </c>
      <c r="M772">
        <v>26</v>
      </c>
      <c r="N772">
        <v>1</v>
      </c>
      <c r="O772">
        <v>8</v>
      </c>
      <c r="P772">
        <v>1</v>
      </c>
      <c r="Q772" t="s">
        <v>7</v>
      </c>
    </row>
    <row r="773" spans="1:28">
      <c r="A773" t="s">
        <v>1021</v>
      </c>
      <c r="B773" t="s">
        <v>967</v>
      </c>
      <c r="C773">
        <v>6.4000000000000001E-2</v>
      </c>
      <c r="D773" t="s">
        <v>6</v>
      </c>
      <c r="E773" t="s">
        <v>1018</v>
      </c>
      <c r="F773" t="s">
        <v>965</v>
      </c>
      <c r="G773" t="s">
        <v>960</v>
      </c>
      <c r="H773">
        <v>1.4259999999999999</v>
      </c>
      <c r="J773" t="s">
        <v>1208</v>
      </c>
      <c r="K773">
        <v>107049763</v>
      </c>
      <c r="L773" s="2">
        <v>44791</v>
      </c>
      <c r="M773">
        <v>24</v>
      </c>
      <c r="N773">
        <v>1</v>
      </c>
      <c r="O773">
        <v>0</v>
      </c>
      <c r="P773">
        <v>1</v>
      </c>
      <c r="Q773" t="s">
        <v>7</v>
      </c>
      <c r="W773" t="s">
        <v>1310</v>
      </c>
      <c r="X773" t="s">
        <v>1311</v>
      </c>
      <c r="AB773" t="s">
        <v>1312</v>
      </c>
    </row>
    <row r="774" spans="1:28">
      <c r="A774" t="s">
        <v>1021</v>
      </c>
      <c r="B774" t="s">
        <v>967</v>
      </c>
      <c r="C774">
        <v>6.9000000000000006E-2</v>
      </c>
      <c r="D774" t="s">
        <v>6</v>
      </c>
      <c r="E774" t="s">
        <v>1018</v>
      </c>
      <c r="G774" t="s">
        <v>960</v>
      </c>
      <c r="H774">
        <v>1.431</v>
      </c>
      <c r="J774" t="s">
        <v>1208</v>
      </c>
      <c r="K774">
        <v>108406684</v>
      </c>
      <c r="L774" s="2">
        <v>46071</v>
      </c>
      <c r="M774">
        <v>24</v>
      </c>
      <c r="N774">
        <v>1</v>
      </c>
      <c r="O774">
        <v>8</v>
      </c>
      <c r="P774">
        <v>1</v>
      </c>
      <c r="Q774" t="s">
        <v>7</v>
      </c>
      <c r="W774" t="s">
        <v>1313</v>
      </c>
      <c r="X774" t="s">
        <v>1314</v>
      </c>
      <c r="AB774" t="s">
        <v>1315</v>
      </c>
    </row>
    <row r="775" spans="1:28">
      <c r="A775" t="s">
        <v>1021</v>
      </c>
      <c r="B775" t="s">
        <v>967</v>
      </c>
      <c r="C775">
        <v>1.9E-2</v>
      </c>
      <c r="D775" t="s">
        <v>757</v>
      </c>
      <c r="E775" t="s">
        <v>965</v>
      </c>
      <c r="F775" t="s">
        <v>963</v>
      </c>
      <c r="G775" t="s">
        <v>960</v>
      </c>
      <c r="H775">
        <v>1.47</v>
      </c>
      <c r="J775" t="s">
        <v>769</v>
      </c>
      <c r="K775">
        <v>108278028</v>
      </c>
      <c r="L775" s="2">
        <v>45955</v>
      </c>
      <c r="M775">
        <v>30</v>
      </c>
      <c r="N775">
        <v>1</v>
      </c>
      <c r="O775">
        <v>0</v>
      </c>
      <c r="P775">
        <v>4</v>
      </c>
      <c r="Q775" t="s">
        <v>7</v>
      </c>
      <c r="X775" t="s">
        <v>1316</v>
      </c>
      <c r="Y775" t="s">
        <v>772</v>
      </c>
      <c r="Z775" t="s">
        <v>771</v>
      </c>
      <c r="AA775" t="s">
        <v>722</v>
      </c>
    </row>
    <row r="776" spans="1:28">
      <c r="A776" t="s">
        <v>1021</v>
      </c>
      <c r="B776" t="s">
        <v>967</v>
      </c>
      <c r="C776">
        <v>1.4E-2</v>
      </c>
      <c r="D776" t="s">
        <v>757</v>
      </c>
      <c r="E776" t="s">
        <v>965</v>
      </c>
      <c r="F776" t="s">
        <v>966</v>
      </c>
      <c r="G776" t="s">
        <v>960</v>
      </c>
      <c r="H776">
        <v>1.4750000000000001</v>
      </c>
      <c r="J776" t="s">
        <v>769</v>
      </c>
      <c r="K776">
        <v>105233216</v>
      </c>
      <c r="L776" s="2">
        <v>42985</v>
      </c>
      <c r="M776">
        <v>26</v>
      </c>
      <c r="N776">
        <v>1</v>
      </c>
      <c r="O776">
        <v>7</v>
      </c>
      <c r="P776">
        <v>1</v>
      </c>
      <c r="Q776" t="s">
        <v>7</v>
      </c>
      <c r="X776" t="s">
        <v>1317</v>
      </c>
      <c r="Y776" t="s">
        <v>1318</v>
      </c>
      <c r="Z776" t="s">
        <v>771</v>
      </c>
      <c r="AA776" t="s">
        <v>721</v>
      </c>
    </row>
    <row r="777" spans="1:28">
      <c r="A777" t="s">
        <v>1021</v>
      </c>
      <c r="B777" t="s">
        <v>967</v>
      </c>
      <c r="C777">
        <v>1.4E-2</v>
      </c>
      <c r="D777" t="s">
        <v>757</v>
      </c>
      <c r="E777" t="s">
        <v>965</v>
      </c>
      <c r="F777" t="s">
        <v>1191</v>
      </c>
      <c r="G777" t="s">
        <v>960</v>
      </c>
      <c r="H777">
        <v>1.4750000000000001</v>
      </c>
      <c r="J777" t="s">
        <v>769</v>
      </c>
      <c r="K777">
        <v>108264224</v>
      </c>
      <c r="L777" s="2">
        <v>45942</v>
      </c>
      <c r="M777">
        <v>27</v>
      </c>
      <c r="N777">
        <v>2</v>
      </c>
      <c r="O777">
        <v>12</v>
      </c>
      <c r="P777">
        <v>1</v>
      </c>
      <c r="Q777" t="s">
        <v>3</v>
      </c>
      <c r="X777" t="s">
        <v>1319</v>
      </c>
      <c r="Y777" t="s">
        <v>1318</v>
      </c>
      <c r="Z777" t="s">
        <v>1320</v>
      </c>
      <c r="AA777" t="s">
        <v>721</v>
      </c>
    </row>
    <row r="778" spans="1:28">
      <c r="A778" t="s">
        <v>1021</v>
      </c>
      <c r="B778" t="s">
        <v>967</v>
      </c>
      <c r="C778">
        <v>2E-3</v>
      </c>
      <c r="D778" t="s">
        <v>757</v>
      </c>
      <c r="E778" t="s">
        <v>965</v>
      </c>
      <c r="F778" t="s">
        <v>963</v>
      </c>
      <c r="G778" t="s">
        <v>960</v>
      </c>
      <c r="H778">
        <v>1.4870000000000001</v>
      </c>
      <c r="J778" t="s">
        <v>769</v>
      </c>
      <c r="K778">
        <v>108071192</v>
      </c>
      <c r="L778" s="2">
        <v>45754</v>
      </c>
      <c r="M778">
        <v>21</v>
      </c>
      <c r="N778">
        <v>2</v>
      </c>
      <c r="O778">
        <v>7</v>
      </c>
      <c r="P778">
        <v>1</v>
      </c>
      <c r="Q778" t="s">
        <v>7</v>
      </c>
      <c r="X778" t="s">
        <v>1291</v>
      </c>
      <c r="Y778" t="s">
        <v>771</v>
      </c>
      <c r="Z778" t="s">
        <v>1320</v>
      </c>
      <c r="AA778" t="s">
        <v>722</v>
      </c>
    </row>
    <row r="779" spans="1:28">
      <c r="A779" t="s">
        <v>1021</v>
      </c>
      <c r="B779" t="s">
        <v>967</v>
      </c>
      <c r="C779">
        <v>1E-3</v>
      </c>
      <c r="D779" t="s">
        <v>757</v>
      </c>
      <c r="E779" t="s">
        <v>965</v>
      </c>
      <c r="F779" t="s">
        <v>1018</v>
      </c>
      <c r="G779" t="s">
        <v>960</v>
      </c>
      <c r="H779">
        <v>1.488</v>
      </c>
      <c r="J779" t="s">
        <v>769</v>
      </c>
      <c r="K779">
        <v>107986965</v>
      </c>
      <c r="L779" s="2">
        <v>45664</v>
      </c>
      <c r="M779">
        <v>21</v>
      </c>
      <c r="N779">
        <v>1</v>
      </c>
      <c r="O779">
        <v>7</v>
      </c>
      <c r="P779">
        <v>4</v>
      </c>
      <c r="Q779" t="s">
        <v>7</v>
      </c>
      <c r="X779" t="s">
        <v>1291</v>
      </c>
      <c r="Y779" t="s">
        <v>771</v>
      </c>
      <c r="Z779" t="s">
        <v>1320</v>
      </c>
      <c r="AA779" t="s">
        <v>722</v>
      </c>
    </row>
    <row r="780" spans="1:28">
      <c r="A780" t="s">
        <v>1021</v>
      </c>
      <c r="B780" t="s">
        <v>967</v>
      </c>
      <c r="C780">
        <v>0</v>
      </c>
      <c r="E780" t="s">
        <v>965</v>
      </c>
      <c r="F780" t="s">
        <v>963</v>
      </c>
      <c r="G780" t="s">
        <v>960</v>
      </c>
      <c r="H780">
        <v>1.4890000000000001</v>
      </c>
      <c r="J780" t="s">
        <v>769</v>
      </c>
      <c r="K780">
        <v>105984439</v>
      </c>
      <c r="L780" s="2">
        <v>43699</v>
      </c>
      <c r="M780">
        <v>21</v>
      </c>
      <c r="N780">
        <v>1</v>
      </c>
      <c r="O780">
        <v>7</v>
      </c>
      <c r="P780">
        <v>1</v>
      </c>
      <c r="Q780" t="s">
        <v>3</v>
      </c>
      <c r="X780" t="s">
        <v>1291</v>
      </c>
      <c r="Y780" t="s">
        <v>1320</v>
      </c>
      <c r="Z780" t="s">
        <v>1320</v>
      </c>
      <c r="AA780" t="s">
        <v>722</v>
      </c>
    </row>
    <row r="781" spans="1:28">
      <c r="A781" t="s">
        <v>1021</v>
      </c>
      <c r="B781" t="s">
        <v>967</v>
      </c>
      <c r="C781">
        <v>0</v>
      </c>
      <c r="E781" t="s">
        <v>965</v>
      </c>
      <c r="F781" t="s">
        <v>963</v>
      </c>
      <c r="G781" t="s">
        <v>960</v>
      </c>
      <c r="H781">
        <v>1.4890000000000001</v>
      </c>
      <c r="J781" t="s">
        <v>769</v>
      </c>
      <c r="K781">
        <v>105682086</v>
      </c>
      <c r="L781" s="2">
        <v>43409</v>
      </c>
      <c r="M781">
        <v>27</v>
      </c>
      <c r="N781">
        <v>2</v>
      </c>
      <c r="O781">
        <v>7</v>
      </c>
      <c r="P781">
        <v>1</v>
      </c>
      <c r="Q781" t="s">
        <v>3</v>
      </c>
      <c r="X781" t="s">
        <v>1254</v>
      </c>
      <c r="Y781" t="s">
        <v>772</v>
      </c>
      <c r="Z781" t="s">
        <v>781</v>
      </c>
      <c r="AA781" t="s">
        <v>722</v>
      </c>
      <c r="AB781" t="s">
        <v>1321</v>
      </c>
    </row>
    <row r="782" spans="1:28">
      <c r="A782" t="s">
        <v>1021</v>
      </c>
      <c r="B782" t="s">
        <v>967</v>
      </c>
      <c r="C782">
        <v>1.9E-2</v>
      </c>
      <c r="D782" t="s">
        <v>6</v>
      </c>
      <c r="E782" t="s">
        <v>965</v>
      </c>
      <c r="F782" t="s">
        <v>963</v>
      </c>
      <c r="G782" t="s">
        <v>960</v>
      </c>
      <c r="H782">
        <v>1.4890000000000001</v>
      </c>
      <c r="J782" t="s">
        <v>769</v>
      </c>
      <c r="K782">
        <v>107845703</v>
      </c>
      <c r="L782" s="2">
        <v>45546</v>
      </c>
      <c r="M782">
        <v>30</v>
      </c>
      <c r="N782">
        <v>1</v>
      </c>
      <c r="O782">
        <v>0</v>
      </c>
      <c r="P782">
        <v>1</v>
      </c>
      <c r="Q782" t="s">
        <v>7</v>
      </c>
      <c r="X782" t="s">
        <v>1316</v>
      </c>
      <c r="Y782" t="s">
        <v>772</v>
      </c>
      <c r="Z782" t="s">
        <v>772</v>
      </c>
      <c r="AA782" t="s">
        <v>722</v>
      </c>
    </row>
    <row r="783" spans="1:28">
      <c r="A783" t="s">
        <v>1021</v>
      </c>
      <c r="B783" t="s">
        <v>967</v>
      </c>
      <c r="C783">
        <v>0</v>
      </c>
      <c r="E783" t="s">
        <v>965</v>
      </c>
      <c r="F783" t="s">
        <v>1023</v>
      </c>
      <c r="G783" t="s">
        <v>960</v>
      </c>
      <c r="H783">
        <v>1.4890000000000001</v>
      </c>
      <c r="J783" t="s">
        <v>769</v>
      </c>
      <c r="K783">
        <v>105329614</v>
      </c>
      <c r="L783" s="2">
        <v>43075</v>
      </c>
      <c r="M783">
        <v>30</v>
      </c>
      <c r="N783">
        <v>2</v>
      </c>
      <c r="O783">
        <v>7</v>
      </c>
      <c r="P783">
        <v>1</v>
      </c>
      <c r="Q783" t="s">
        <v>7</v>
      </c>
      <c r="X783" t="s">
        <v>1252</v>
      </c>
      <c r="Y783" t="s">
        <v>1240</v>
      </c>
      <c r="Z783" t="s">
        <v>1320</v>
      </c>
      <c r="AA783" t="s">
        <v>723</v>
      </c>
    </row>
    <row r="784" spans="1:28">
      <c r="A784" t="s">
        <v>1021</v>
      </c>
      <c r="B784" t="s">
        <v>967</v>
      </c>
      <c r="C784">
        <v>0</v>
      </c>
      <c r="D784" t="s">
        <v>757</v>
      </c>
      <c r="E784" t="s">
        <v>965</v>
      </c>
      <c r="F784" t="s">
        <v>1018</v>
      </c>
      <c r="G784" t="s">
        <v>960</v>
      </c>
      <c r="H784">
        <v>1.4890000000000001</v>
      </c>
      <c r="J784" t="s">
        <v>769</v>
      </c>
      <c r="K784">
        <v>107220961</v>
      </c>
      <c r="L784" s="2">
        <v>44848</v>
      </c>
      <c r="M784">
        <v>30</v>
      </c>
      <c r="N784">
        <v>1</v>
      </c>
      <c r="O784">
        <v>8</v>
      </c>
      <c r="P784">
        <v>1</v>
      </c>
      <c r="Q784" t="s">
        <v>7</v>
      </c>
      <c r="X784" t="s">
        <v>1262</v>
      </c>
      <c r="Y784" t="s">
        <v>780</v>
      </c>
      <c r="Z784" t="s">
        <v>771</v>
      </c>
      <c r="AA784" t="s">
        <v>724</v>
      </c>
    </row>
    <row r="785" spans="1:27">
      <c r="A785" t="s">
        <v>1021</v>
      </c>
      <c r="B785" t="s">
        <v>967</v>
      </c>
      <c r="C785">
        <v>0</v>
      </c>
      <c r="E785" t="s">
        <v>965</v>
      </c>
      <c r="F785" t="s">
        <v>1020</v>
      </c>
      <c r="G785" t="s">
        <v>960</v>
      </c>
      <c r="H785">
        <v>1.4890000000000001</v>
      </c>
      <c r="J785" t="s">
        <v>769</v>
      </c>
      <c r="K785">
        <v>108604168</v>
      </c>
      <c r="L785" s="2">
        <v>46262</v>
      </c>
      <c r="M785">
        <v>30</v>
      </c>
      <c r="N785">
        <v>2</v>
      </c>
      <c r="O785">
        <v>7</v>
      </c>
      <c r="P785">
        <v>1</v>
      </c>
      <c r="Q785" t="s">
        <v>7</v>
      </c>
      <c r="X785" t="s">
        <v>1252</v>
      </c>
      <c r="Y785" t="s">
        <v>774</v>
      </c>
      <c r="Z785" t="s">
        <v>771</v>
      </c>
      <c r="AA785" t="s">
        <v>723</v>
      </c>
    </row>
    <row r="786" spans="1:27">
      <c r="A786" t="s">
        <v>1021</v>
      </c>
      <c r="B786" t="s">
        <v>967</v>
      </c>
      <c r="C786">
        <v>0</v>
      </c>
      <c r="E786" t="s">
        <v>965</v>
      </c>
      <c r="F786" t="s">
        <v>968</v>
      </c>
      <c r="G786" t="s">
        <v>960</v>
      </c>
      <c r="H786">
        <v>1.4890000000000001</v>
      </c>
      <c r="J786" t="s">
        <v>769</v>
      </c>
      <c r="K786">
        <v>107529695</v>
      </c>
      <c r="L786" s="2">
        <v>45197</v>
      </c>
      <c r="M786">
        <v>21</v>
      </c>
      <c r="N786">
        <v>1</v>
      </c>
      <c r="O786">
        <v>7</v>
      </c>
      <c r="P786">
        <v>1</v>
      </c>
      <c r="Q786" t="s">
        <v>7</v>
      </c>
      <c r="X786" t="s">
        <v>1291</v>
      </c>
      <c r="Y786" t="s">
        <v>1263</v>
      </c>
      <c r="Z786" t="s">
        <v>1263</v>
      </c>
      <c r="AA786" t="s">
        <v>722</v>
      </c>
    </row>
    <row r="787" spans="1:27">
      <c r="A787" t="s">
        <v>1021</v>
      </c>
      <c r="B787" t="s">
        <v>967</v>
      </c>
      <c r="C787">
        <v>0</v>
      </c>
      <c r="E787" t="s">
        <v>965</v>
      </c>
      <c r="G787" t="s">
        <v>960</v>
      </c>
      <c r="H787">
        <v>1.4890000000000001</v>
      </c>
      <c r="J787" t="s">
        <v>769</v>
      </c>
      <c r="K787">
        <v>107802051</v>
      </c>
      <c r="L787" s="2">
        <v>45504</v>
      </c>
      <c r="M787">
        <v>24</v>
      </c>
      <c r="N787">
        <v>1</v>
      </c>
      <c r="O787">
        <v>7</v>
      </c>
      <c r="P787">
        <v>1</v>
      </c>
      <c r="Q787" t="s">
        <v>7</v>
      </c>
      <c r="X787" t="s">
        <v>1245</v>
      </c>
      <c r="Y787" t="s">
        <v>774</v>
      </c>
      <c r="Z787" t="s">
        <v>1240</v>
      </c>
      <c r="AA787" t="s">
        <v>723</v>
      </c>
    </row>
    <row r="788" spans="1:27">
      <c r="A788" t="s">
        <v>1021</v>
      </c>
      <c r="B788" t="s">
        <v>1151</v>
      </c>
      <c r="C788">
        <v>0</v>
      </c>
      <c r="E788" t="s">
        <v>962</v>
      </c>
      <c r="F788" t="s">
        <v>968</v>
      </c>
      <c r="G788" t="s">
        <v>1151</v>
      </c>
      <c r="H788">
        <v>999.99900000000002</v>
      </c>
      <c r="K788">
        <v>106976431</v>
      </c>
      <c r="L788" s="2">
        <v>44714</v>
      </c>
      <c r="M788">
        <v>21</v>
      </c>
      <c r="N788">
        <v>1</v>
      </c>
      <c r="O788">
        <v>0</v>
      </c>
      <c r="P788">
        <v>1</v>
      </c>
      <c r="Q788" t="s">
        <v>3</v>
      </c>
    </row>
    <row r="789" spans="1:27">
      <c r="A789" t="s">
        <v>1021</v>
      </c>
      <c r="B789" t="s">
        <v>1062</v>
      </c>
      <c r="C789">
        <v>0</v>
      </c>
      <c r="E789" t="s">
        <v>965</v>
      </c>
      <c r="F789" t="s">
        <v>1090</v>
      </c>
      <c r="G789" t="s">
        <v>1091</v>
      </c>
      <c r="H789">
        <v>0.38800000000000001</v>
      </c>
      <c r="K789">
        <v>105186093</v>
      </c>
      <c r="L789" s="2">
        <v>42940</v>
      </c>
      <c r="M789">
        <v>30</v>
      </c>
      <c r="N789">
        <v>1</v>
      </c>
      <c r="O789">
        <v>8</v>
      </c>
      <c r="P789">
        <v>1</v>
      </c>
      <c r="Q789" t="s">
        <v>8</v>
      </c>
    </row>
    <row r="790" spans="1:27">
      <c r="A790" t="s">
        <v>1021</v>
      </c>
      <c r="B790" t="s">
        <v>1062</v>
      </c>
      <c r="C790">
        <v>0</v>
      </c>
      <c r="E790" t="s">
        <v>965</v>
      </c>
      <c r="F790" t="s">
        <v>1061</v>
      </c>
      <c r="G790" t="s">
        <v>1091</v>
      </c>
      <c r="H790">
        <v>0.38800000000000001</v>
      </c>
      <c r="K790">
        <v>108328839</v>
      </c>
      <c r="L790" s="2">
        <v>45995</v>
      </c>
      <c r="M790">
        <v>28</v>
      </c>
      <c r="N790">
        <v>1</v>
      </c>
      <c r="O790">
        <v>7</v>
      </c>
      <c r="P790">
        <v>1</v>
      </c>
      <c r="Q790" t="s">
        <v>3</v>
      </c>
    </row>
    <row r="791" spans="1:27">
      <c r="A791" t="s">
        <v>1021</v>
      </c>
      <c r="B791" t="s">
        <v>1062</v>
      </c>
      <c r="C791">
        <v>0</v>
      </c>
      <c r="E791" t="s">
        <v>965</v>
      </c>
      <c r="F791" t="s">
        <v>1127</v>
      </c>
      <c r="G791" t="s">
        <v>1091</v>
      </c>
      <c r="H791">
        <v>0.38800000000000001</v>
      </c>
      <c r="K791">
        <v>106502173</v>
      </c>
      <c r="L791" s="2">
        <v>44200</v>
      </c>
      <c r="M791">
        <v>30</v>
      </c>
      <c r="N791">
        <v>1</v>
      </c>
      <c r="O791">
        <v>9</v>
      </c>
      <c r="P791">
        <v>1</v>
      </c>
      <c r="Q791" t="s">
        <v>3</v>
      </c>
    </row>
    <row r="792" spans="1:27">
      <c r="A792" t="s">
        <v>1021</v>
      </c>
      <c r="B792" t="s">
        <v>1033</v>
      </c>
      <c r="C792">
        <v>2.8000000000000001E-2</v>
      </c>
      <c r="D792" t="s">
        <v>757</v>
      </c>
      <c r="E792" t="s">
        <v>965</v>
      </c>
      <c r="F792" t="s">
        <v>1032</v>
      </c>
      <c r="G792" t="s">
        <v>1036</v>
      </c>
      <c r="H792">
        <v>0.45200000000000001</v>
      </c>
      <c r="I792" t="s">
        <v>61</v>
      </c>
      <c r="K792">
        <v>107758802</v>
      </c>
      <c r="L792" s="2">
        <v>45464</v>
      </c>
      <c r="M792">
        <v>21</v>
      </c>
      <c r="N792">
        <v>1</v>
      </c>
      <c r="O792">
        <v>0</v>
      </c>
      <c r="P792">
        <v>1</v>
      </c>
      <c r="Q792" t="s">
        <v>7</v>
      </c>
    </row>
    <row r="793" spans="1:27">
      <c r="A793" t="s">
        <v>1021</v>
      </c>
      <c r="B793" t="s">
        <v>1035</v>
      </c>
      <c r="C793">
        <v>1.4999999999999999E-2</v>
      </c>
      <c r="D793" t="s">
        <v>763</v>
      </c>
      <c r="E793" t="s">
        <v>965</v>
      </c>
      <c r="F793" t="s">
        <v>1033</v>
      </c>
      <c r="G793" t="s">
        <v>1036</v>
      </c>
      <c r="H793">
        <v>0.46500000000000002</v>
      </c>
      <c r="K793">
        <v>108357136</v>
      </c>
      <c r="L793" s="2">
        <v>46021</v>
      </c>
      <c r="M793">
        <v>30</v>
      </c>
      <c r="N793">
        <v>1</v>
      </c>
      <c r="O793">
        <v>0</v>
      </c>
      <c r="P793">
        <v>1</v>
      </c>
      <c r="Q793" t="s">
        <v>7</v>
      </c>
    </row>
    <row r="794" spans="1:27">
      <c r="A794" t="s">
        <v>1021</v>
      </c>
      <c r="B794" t="s">
        <v>1035</v>
      </c>
      <c r="C794">
        <v>2E-3</v>
      </c>
      <c r="D794" t="s">
        <v>763</v>
      </c>
      <c r="E794" t="s">
        <v>965</v>
      </c>
      <c r="F794" t="s">
        <v>1033</v>
      </c>
      <c r="G794" t="s">
        <v>1036</v>
      </c>
      <c r="H794">
        <v>0.47799999999999998</v>
      </c>
      <c r="K794">
        <v>107722068</v>
      </c>
      <c r="L794" s="2">
        <v>45429</v>
      </c>
      <c r="M794">
        <v>21</v>
      </c>
      <c r="N794">
        <v>1</v>
      </c>
      <c r="O794">
        <v>12</v>
      </c>
      <c r="P794">
        <v>4</v>
      </c>
      <c r="Q794" t="s">
        <v>7</v>
      </c>
    </row>
    <row r="795" spans="1:27">
      <c r="A795" t="s">
        <v>1021</v>
      </c>
      <c r="B795" t="s">
        <v>1033</v>
      </c>
      <c r="C795">
        <v>0</v>
      </c>
      <c r="E795" t="s">
        <v>965</v>
      </c>
      <c r="F795" t="s">
        <v>1032</v>
      </c>
      <c r="G795" t="s">
        <v>1036</v>
      </c>
      <c r="H795">
        <v>0.48</v>
      </c>
      <c r="I795" t="s">
        <v>61</v>
      </c>
      <c r="K795">
        <v>106997557</v>
      </c>
      <c r="L795" s="2">
        <v>44737</v>
      </c>
      <c r="M795">
        <v>23</v>
      </c>
      <c r="N795">
        <v>1</v>
      </c>
      <c r="O795">
        <v>7</v>
      </c>
      <c r="P795">
        <v>2</v>
      </c>
      <c r="Q795" t="s">
        <v>7</v>
      </c>
    </row>
    <row r="796" spans="1:27">
      <c r="A796" t="s">
        <v>1021</v>
      </c>
      <c r="B796" t="s">
        <v>1035</v>
      </c>
      <c r="C796">
        <v>0</v>
      </c>
      <c r="D796" t="s">
        <v>758</v>
      </c>
      <c r="E796" t="s">
        <v>965</v>
      </c>
      <c r="F796" t="s">
        <v>1033</v>
      </c>
      <c r="G796" t="s">
        <v>1036</v>
      </c>
      <c r="H796">
        <v>0.48</v>
      </c>
      <c r="K796">
        <v>108489046</v>
      </c>
      <c r="L796" s="2">
        <v>46148</v>
      </c>
      <c r="M796">
        <v>21</v>
      </c>
      <c r="N796">
        <v>1</v>
      </c>
      <c r="O796">
        <v>7</v>
      </c>
      <c r="P796">
        <v>1</v>
      </c>
      <c r="Q796" t="s">
        <v>7</v>
      </c>
    </row>
    <row r="797" spans="1:27">
      <c r="A797" t="s">
        <v>1021</v>
      </c>
      <c r="B797" t="s">
        <v>1035</v>
      </c>
      <c r="C797">
        <v>0</v>
      </c>
      <c r="E797" t="s">
        <v>965</v>
      </c>
      <c r="F797" t="s">
        <v>1033</v>
      </c>
      <c r="G797" t="s">
        <v>1036</v>
      </c>
      <c r="H797">
        <v>0.48</v>
      </c>
      <c r="K797">
        <v>108089427</v>
      </c>
      <c r="L797" s="2">
        <v>45771</v>
      </c>
      <c r="M797">
        <v>23</v>
      </c>
      <c r="N797">
        <v>1</v>
      </c>
      <c r="O797">
        <v>7</v>
      </c>
      <c r="P797">
        <v>1</v>
      </c>
      <c r="Q797" t="s">
        <v>3</v>
      </c>
    </row>
    <row r="798" spans="1:27">
      <c r="A798" t="s">
        <v>1021</v>
      </c>
      <c r="B798" t="s">
        <v>1035</v>
      </c>
      <c r="C798">
        <v>1.4E-2</v>
      </c>
      <c r="D798" t="s">
        <v>6</v>
      </c>
      <c r="E798" t="s">
        <v>965</v>
      </c>
      <c r="F798" t="s">
        <v>1033</v>
      </c>
      <c r="G798" t="s">
        <v>1036</v>
      </c>
      <c r="H798">
        <v>0.48</v>
      </c>
      <c r="K798">
        <v>107808872</v>
      </c>
      <c r="L798" s="2">
        <v>45509</v>
      </c>
      <c r="M798">
        <v>24</v>
      </c>
      <c r="N798">
        <v>1</v>
      </c>
      <c r="O798">
        <v>0</v>
      </c>
      <c r="P798">
        <v>1</v>
      </c>
      <c r="Q798" t="s">
        <v>7</v>
      </c>
    </row>
    <row r="799" spans="1:27">
      <c r="A799" t="s">
        <v>1021</v>
      </c>
      <c r="B799" t="s">
        <v>1035</v>
      </c>
      <c r="C799">
        <v>0</v>
      </c>
      <c r="E799" t="s">
        <v>965</v>
      </c>
      <c r="F799" t="s">
        <v>1033</v>
      </c>
      <c r="G799" t="s">
        <v>1036</v>
      </c>
      <c r="H799">
        <v>0.48</v>
      </c>
      <c r="K799">
        <v>106350385</v>
      </c>
      <c r="L799" s="2">
        <v>44060</v>
      </c>
      <c r="M799">
        <v>28</v>
      </c>
      <c r="N799">
        <v>1</v>
      </c>
      <c r="P799">
        <v>1</v>
      </c>
      <c r="Q799" t="s">
        <v>7</v>
      </c>
    </row>
    <row r="800" spans="1:27">
      <c r="A800" t="s">
        <v>1021</v>
      </c>
      <c r="B800" t="s">
        <v>965</v>
      </c>
      <c r="C800">
        <v>5.0999999999999997E-2</v>
      </c>
      <c r="D800" t="s">
        <v>762</v>
      </c>
      <c r="E800" t="s">
        <v>1032</v>
      </c>
      <c r="F800" t="s">
        <v>1033</v>
      </c>
      <c r="G800" t="s">
        <v>1036</v>
      </c>
      <c r="H800">
        <v>0.48099999999999998</v>
      </c>
      <c r="K800">
        <v>107045221</v>
      </c>
      <c r="L800" s="2">
        <v>44785</v>
      </c>
      <c r="M800">
        <v>21</v>
      </c>
      <c r="N800">
        <v>1</v>
      </c>
      <c r="O800">
        <v>0</v>
      </c>
      <c r="P800">
        <v>1</v>
      </c>
      <c r="Q800" t="s">
        <v>7</v>
      </c>
    </row>
    <row r="801" spans="1:17">
      <c r="A801" t="s">
        <v>1021</v>
      </c>
      <c r="B801" t="s">
        <v>1033</v>
      </c>
      <c r="C801">
        <v>3.0000000000000001E-3</v>
      </c>
      <c r="D801" t="s">
        <v>756</v>
      </c>
      <c r="E801" t="s">
        <v>965</v>
      </c>
      <c r="F801" t="s">
        <v>1032</v>
      </c>
      <c r="G801" t="s">
        <v>1036</v>
      </c>
      <c r="H801">
        <v>0.48299999999999998</v>
      </c>
      <c r="I801" t="s">
        <v>61</v>
      </c>
      <c r="K801">
        <v>107879445</v>
      </c>
      <c r="L801" s="2">
        <v>45574</v>
      </c>
      <c r="M801">
        <v>21</v>
      </c>
      <c r="N801">
        <v>1</v>
      </c>
      <c r="O801">
        <v>0</v>
      </c>
      <c r="P801">
        <v>1</v>
      </c>
      <c r="Q801" t="s">
        <v>7</v>
      </c>
    </row>
    <row r="802" spans="1:17">
      <c r="A802" t="s">
        <v>1021</v>
      </c>
      <c r="B802" t="s">
        <v>965</v>
      </c>
      <c r="C802">
        <v>1.9E-2</v>
      </c>
      <c r="D802" t="s">
        <v>762</v>
      </c>
      <c r="E802" t="s">
        <v>1033</v>
      </c>
      <c r="F802" t="s">
        <v>1025</v>
      </c>
      <c r="G802" t="s">
        <v>1036</v>
      </c>
      <c r="H802">
        <v>0.499</v>
      </c>
      <c r="K802">
        <v>107852787</v>
      </c>
      <c r="L802" s="2">
        <v>45551</v>
      </c>
      <c r="M802">
        <v>21</v>
      </c>
      <c r="N802">
        <v>2</v>
      </c>
      <c r="O802">
        <v>12</v>
      </c>
      <c r="P802">
        <v>1</v>
      </c>
      <c r="Q802" t="s">
        <v>7</v>
      </c>
    </row>
    <row r="803" spans="1:17">
      <c r="A803" t="s">
        <v>1021</v>
      </c>
      <c r="B803" t="s">
        <v>965</v>
      </c>
      <c r="C803">
        <v>7.4999999999999997E-2</v>
      </c>
      <c r="D803" t="s">
        <v>756</v>
      </c>
      <c r="E803" t="s">
        <v>1032</v>
      </c>
      <c r="F803" t="s">
        <v>1035</v>
      </c>
      <c r="G803" t="s">
        <v>1036</v>
      </c>
      <c r="H803">
        <v>0.505</v>
      </c>
      <c r="K803">
        <v>107233455</v>
      </c>
      <c r="L803" s="2">
        <v>44961</v>
      </c>
      <c r="M803">
        <v>21</v>
      </c>
      <c r="N803">
        <v>1</v>
      </c>
      <c r="O803">
        <v>7</v>
      </c>
      <c r="P803">
        <v>1</v>
      </c>
      <c r="Q803" t="s">
        <v>7</v>
      </c>
    </row>
    <row r="804" spans="1:17">
      <c r="A804" t="s">
        <v>1021</v>
      </c>
      <c r="B804" t="s">
        <v>965</v>
      </c>
      <c r="C804">
        <v>3.7999999999999999E-2</v>
      </c>
      <c r="D804" t="s">
        <v>756</v>
      </c>
      <c r="E804" t="s">
        <v>1033</v>
      </c>
      <c r="F804" t="s">
        <v>1026</v>
      </c>
      <c r="G804" t="s">
        <v>1036</v>
      </c>
      <c r="H804">
        <v>0.51800000000000002</v>
      </c>
      <c r="K804">
        <v>107590484</v>
      </c>
      <c r="L804" s="2">
        <v>45301</v>
      </c>
      <c r="M804">
        <v>21</v>
      </c>
      <c r="N804">
        <v>1</v>
      </c>
      <c r="O804">
        <v>0</v>
      </c>
      <c r="P804">
        <v>1</v>
      </c>
      <c r="Q804" t="s">
        <v>7</v>
      </c>
    </row>
    <row r="805" spans="1:17">
      <c r="A805" t="s">
        <v>1021</v>
      </c>
      <c r="B805" t="s">
        <v>965</v>
      </c>
      <c r="C805">
        <v>4.7E-2</v>
      </c>
      <c r="D805" t="s">
        <v>758</v>
      </c>
      <c r="E805" t="s">
        <v>1026</v>
      </c>
      <c r="F805" t="s">
        <v>1097</v>
      </c>
      <c r="G805" t="s">
        <v>1036</v>
      </c>
      <c r="H805">
        <v>0.59599999999999997</v>
      </c>
      <c r="K805">
        <v>107548958</v>
      </c>
      <c r="L805" s="2">
        <v>45261</v>
      </c>
      <c r="M805">
        <v>1</v>
      </c>
      <c r="N805">
        <v>1</v>
      </c>
      <c r="O805">
        <v>0</v>
      </c>
      <c r="P805">
        <v>4</v>
      </c>
      <c r="Q805" t="s">
        <v>3</v>
      </c>
    </row>
    <row r="806" spans="1:17">
      <c r="A806" t="s">
        <v>1021</v>
      </c>
      <c r="B806" t="s">
        <v>1026</v>
      </c>
      <c r="C806">
        <v>0</v>
      </c>
      <c r="E806" t="s">
        <v>965</v>
      </c>
      <c r="F806" t="s">
        <v>1120</v>
      </c>
      <c r="G806" t="s">
        <v>1036</v>
      </c>
      <c r="H806">
        <v>0.64300000000000002</v>
      </c>
      <c r="K806">
        <v>106223035</v>
      </c>
      <c r="L806" s="2">
        <v>43897</v>
      </c>
      <c r="M806">
        <v>30</v>
      </c>
      <c r="N806">
        <v>1</v>
      </c>
      <c r="O806">
        <v>7</v>
      </c>
      <c r="P806">
        <v>1</v>
      </c>
      <c r="Q806" t="s">
        <v>7</v>
      </c>
    </row>
    <row r="807" spans="1:17">
      <c r="A807" t="s">
        <v>1021</v>
      </c>
      <c r="B807" t="s">
        <v>1026</v>
      </c>
      <c r="C807">
        <v>0</v>
      </c>
      <c r="D807" t="s">
        <v>756</v>
      </c>
      <c r="E807" t="s">
        <v>965</v>
      </c>
      <c r="F807" t="s">
        <v>1133</v>
      </c>
      <c r="G807" t="s">
        <v>1036</v>
      </c>
      <c r="H807">
        <v>0.64300000000000002</v>
      </c>
      <c r="K807">
        <v>108025715</v>
      </c>
      <c r="L807" s="2">
        <v>45707</v>
      </c>
      <c r="M807">
        <v>19</v>
      </c>
      <c r="N807">
        <v>4</v>
      </c>
      <c r="O807">
        <v>0</v>
      </c>
      <c r="P807">
        <v>1</v>
      </c>
      <c r="Q807" t="s">
        <v>7</v>
      </c>
    </row>
    <row r="808" spans="1:17">
      <c r="A808" t="s">
        <v>1021</v>
      </c>
      <c r="B808" t="s">
        <v>1026</v>
      </c>
      <c r="C808">
        <v>0</v>
      </c>
      <c r="E808" t="s">
        <v>965</v>
      </c>
      <c r="F808" t="s">
        <v>1098</v>
      </c>
      <c r="G808" t="s">
        <v>1036</v>
      </c>
      <c r="H808">
        <v>0.64300000000000002</v>
      </c>
      <c r="K808">
        <v>105645889</v>
      </c>
      <c r="L808" s="2">
        <v>43378</v>
      </c>
      <c r="M808">
        <v>21</v>
      </c>
      <c r="N808">
        <v>1</v>
      </c>
      <c r="O808">
        <v>0</v>
      </c>
      <c r="P808">
        <v>1</v>
      </c>
      <c r="Q808" t="s">
        <v>7</v>
      </c>
    </row>
    <row r="809" spans="1:17">
      <c r="A809" t="s">
        <v>1021</v>
      </c>
      <c r="B809" t="s">
        <v>1026</v>
      </c>
      <c r="C809">
        <v>0</v>
      </c>
      <c r="E809" t="s">
        <v>965</v>
      </c>
      <c r="F809" t="s">
        <v>1055</v>
      </c>
      <c r="G809" t="s">
        <v>1036</v>
      </c>
      <c r="H809">
        <v>0.64300000000000002</v>
      </c>
      <c r="K809">
        <v>108424121</v>
      </c>
      <c r="L809" s="2">
        <v>46089</v>
      </c>
      <c r="M809">
        <v>1</v>
      </c>
      <c r="N809">
        <v>1</v>
      </c>
      <c r="O809">
        <v>0</v>
      </c>
      <c r="P809">
        <v>4</v>
      </c>
      <c r="Q809" t="s">
        <v>7</v>
      </c>
    </row>
    <row r="810" spans="1:17">
      <c r="A810" t="s">
        <v>1021</v>
      </c>
      <c r="B810" t="s">
        <v>1026</v>
      </c>
      <c r="C810">
        <v>0</v>
      </c>
      <c r="E810" t="s">
        <v>965</v>
      </c>
      <c r="F810" t="s">
        <v>1055</v>
      </c>
      <c r="G810" t="s">
        <v>1036</v>
      </c>
      <c r="H810">
        <v>0.64300000000000002</v>
      </c>
      <c r="K810">
        <v>108226397</v>
      </c>
      <c r="L810" s="2">
        <v>45911</v>
      </c>
      <c r="M810">
        <v>30</v>
      </c>
      <c r="N810">
        <v>1</v>
      </c>
      <c r="O810">
        <v>9</v>
      </c>
      <c r="P810">
        <v>4</v>
      </c>
      <c r="Q810" t="s">
        <v>7</v>
      </c>
    </row>
    <row r="811" spans="1:17">
      <c r="A811" t="s">
        <v>1021</v>
      </c>
      <c r="B811" t="s">
        <v>1026</v>
      </c>
      <c r="C811">
        <v>0</v>
      </c>
      <c r="E811" t="s">
        <v>965</v>
      </c>
      <c r="F811" t="s">
        <v>1097</v>
      </c>
      <c r="G811" t="s">
        <v>1036</v>
      </c>
      <c r="H811">
        <v>0.64300000000000002</v>
      </c>
      <c r="K811">
        <v>106471975</v>
      </c>
      <c r="L811" s="2">
        <v>44183</v>
      </c>
      <c r="M811">
        <v>2</v>
      </c>
      <c r="N811">
        <v>1</v>
      </c>
      <c r="O811">
        <v>9</v>
      </c>
      <c r="P811">
        <v>5</v>
      </c>
      <c r="Q811" t="s">
        <v>7</v>
      </c>
    </row>
    <row r="812" spans="1:17">
      <c r="A812" t="s">
        <v>1021</v>
      </c>
      <c r="B812" t="s">
        <v>1026</v>
      </c>
      <c r="C812">
        <v>0</v>
      </c>
      <c r="E812" t="s">
        <v>965</v>
      </c>
      <c r="F812" t="s">
        <v>1097</v>
      </c>
      <c r="G812" t="s">
        <v>1036</v>
      </c>
      <c r="H812">
        <v>0.64300000000000002</v>
      </c>
      <c r="K812">
        <v>106922214</v>
      </c>
      <c r="L812" s="2">
        <v>44665</v>
      </c>
      <c r="M812">
        <v>2</v>
      </c>
      <c r="N812">
        <v>1</v>
      </c>
      <c r="O812">
        <v>9</v>
      </c>
      <c r="P812">
        <v>4</v>
      </c>
    </row>
    <row r="813" spans="1:17">
      <c r="A813" t="s">
        <v>1021</v>
      </c>
      <c r="B813" t="s">
        <v>1026</v>
      </c>
      <c r="C813">
        <v>0</v>
      </c>
      <c r="E813" t="s">
        <v>965</v>
      </c>
      <c r="G813" t="s">
        <v>1036</v>
      </c>
      <c r="H813">
        <v>0.64300000000000002</v>
      </c>
      <c r="K813">
        <v>107173187</v>
      </c>
      <c r="L813" s="2">
        <v>44390</v>
      </c>
      <c r="M813">
        <v>2</v>
      </c>
      <c r="N813">
        <v>1</v>
      </c>
      <c r="O813">
        <v>0</v>
      </c>
      <c r="P813">
        <v>5</v>
      </c>
      <c r="Q813" t="s">
        <v>7</v>
      </c>
    </row>
    <row r="814" spans="1:17">
      <c r="A814" t="s">
        <v>1021</v>
      </c>
      <c r="B814" t="s">
        <v>1026</v>
      </c>
      <c r="C814">
        <v>0</v>
      </c>
      <c r="E814" t="s">
        <v>965</v>
      </c>
      <c r="G814" t="s">
        <v>1036</v>
      </c>
      <c r="H814">
        <v>0.64300000000000002</v>
      </c>
      <c r="K814">
        <v>107343046</v>
      </c>
      <c r="L814" s="2">
        <v>45069</v>
      </c>
      <c r="M814">
        <v>24</v>
      </c>
      <c r="N814">
        <v>1</v>
      </c>
      <c r="O814">
        <v>9</v>
      </c>
      <c r="P814">
        <v>1</v>
      </c>
      <c r="Q814" t="s">
        <v>7</v>
      </c>
    </row>
    <row r="815" spans="1:17">
      <c r="A815" t="s">
        <v>1021</v>
      </c>
      <c r="B815" t="s">
        <v>1026</v>
      </c>
      <c r="C815">
        <v>0</v>
      </c>
      <c r="E815" t="s">
        <v>965</v>
      </c>
      <c r="G815" t="s">
        <v>1036</v>
      </c>
      <c r="H815">
        <v>0.64300000000000002</v>
      </c>
      <c r="K815">
        <v>108476135</v>
      </c>
      <c r="L815" s="2">
        <v>46136</v>
      </c>
      <c r="M815">
        <v>26</v>
      </c>
      <c r="N815">
        <v>1</v>
      </c>
      <c r="O815">
        <v>0</v>
      </c>
      <c r="P815">
        <v>1</v>
      </c>
      <c r="Q815" t="s">
        <v>7</v>
      </c>
    </row>
    <row r="816" spans="1:17">
      <c r="A816" t="s">
        <v>1021</v>
      </c>
      <c r="B816" t="s">
        <v>965</v>
      </c>
      <c r="C816">
        <v>0</v>
      </c>
      <c r="E816" t="s">
        <v>1026</v>
      </c>
      <c r="F816" t="s">
        <v>1033</v>
      </c>
      <c r="G816" t="s">
        <v>1036</v>
      </c>
      <c r="H816">
        <v>0.64300000000000002</v>
      </c>
      <c r="K816">
        <v>106296413</v>
      </c>
      <c r="L816" s="2">
        <v>43998</v>
      </c>
      <c r="M816">
        <v>2</v>
      </c>
      <c r="N816">
        <v>2</v>
      </c>
      <c r="O816">
        <v>8</v>
      </c>
      <c r="P816">
        <v>1</v>
      </c>
    </row>
    <row r="817" spans="1:17">
      <c r="A817" t="s">
        <v>1021</v>
      </c>
      <c r="B817" t="s">
        <v>965</v>
      </c>
      <c r="C817">
        <v>0</v>
      </c>
      <c r="E817" t="s">
        <v>1026</v>
      </c>
      <c r="F817" t="s">
        <v>1033</v>
      </c>
      <c r="G817" t="s">
        <v>1036</v>
      </c>
      <c r="H817">
        <v>0.64300000000000002</v>
      </c>
      <c r="K817">
        <v>106802276</v>
      </c>
      <c r="L817" s="2">
        <v>44477</v>
      </c>
      <c r="M817">
        <v>18</v>
      </c>
      <c r="N817">
        <v>2</v>
      </c>
      <c r="O817">
        <v>9</v>
      </c>
      <c r="P817">
        <v>1</v>
      </c>
      <c r="Q817" t="s">
        <v>7</v>
      </c>
    </row>
    <row r="818" spans="1:17">
      <c r="A818" t="s">
        <v>1021</v>
      </c>
      <c r="B818" t="s">
        <v>965</v>
      </c>
      <c r="C818">
        <v>0</v>
      </c>
      <c r="E818" t="s">
        <v>1026</v>
      </c>
      <c r="F818" t="s">
        <v>1033</v>
      </c>
      <c r="G818" t="s">
        <v>1036</v>
      </c>
      <c r="H818">
        <v>0.64300000000000002</v>
      </c>
      <c r="K818">
        <v>106802289</v>
      </c>
      <c r="L818" s="2">
        <v>44481</v>
      </c>
      <c r="M818">
        <v>19</v>
      </c>
      <c r="N818">
        <v>1</v>
      </c>
      <c r="O818">
        <v>9</v>
      </c>
      <c r="P818">
        <v>4</v>
      </c>
    </row>
    <row r="819" spans="1:17">
      <c r="A819" t="s">
        <v>1021</v>
      </c>
      <c r="B819" t="s">
        <v>965</v>
      </c>
      <c r="C819">
        <v>0</v>
      </c>
      <c r="E819" t="s">
        <v>1026</v>
      </c>
      <c r="F819" t="s">
        <v>1025</v>
      </c>
      <c r="G819" t="s">
        <v>1036</v>
      </c>
      <c r="H819">
        <v>0.64300000000000002</v>
      </c>
      <c r="K819">
        <v>106802171</v>
      </c>
      <c r="L819" s="2">
        <v>44409</v>
      </c>
      <c r="M819">
        <v>2</v>
      </c>
      <c r="N819">
        <v>1</v>
      </c>
      <c r="O819">
        <v>9</v>
      </c>
      <c r="P819">
        <v>4</v>
      </c>
    </row>
    <row r="820" spans="1:17">
      <c r="A820" t="s">
        <v>1021</v>
      </c>
      <c r="B820" t="s">
        <v>965</v>
      </c>
      <c r="C820">
        <v>0</v>
      </c>
      <c r="E820" t="s">
        <v>1026</v>
      </c>
      <c r="F820" t="s">
        <v>1055</v>
      </c>
      <c r="G820" t="s">
        <v>1036</v>
      </c>
      <c r="H820">
        <v>0.64300000000000002</v>
      </c>
      <c r="K820">
        <v>105806273</v>
      </c>
      <c r="L820" s="2">
        <v>43535</v>
      </c>
      <c r="M820">
        <v>24</v>
      </c>
      <c r="N820">
        <v>1</v>
      </c>
      <c r="O820">
        <v>8</v>
      </c>
      <c r="P820">
        <v>1</v>
      </c>
      <c r="Q820" t="s">
        <v>7</v>
      </c>
    </row>
    <row r="821" spans="1:17">
      <c r="A821" t="s">
        <v>1021</v>
      </c>
      <c r="B821" t="s">
        <v>965</v>
      </c>
      <c r="C821">
        <v>0</v>
      </c>
      <c r="E821" t="s">
        <v>1026</v>
      </c>
      <c r="G821" t="s">
        <v>1036</v>
      </c>
      <c r="H821">
        <v>0.64300000000000002</v>
      </c>
      <c r="K821">
        <v>106586028</v>
      </c>
      <c r="L821" s="2">
        <v>44288</v>
      </c>
      <c r="M821">
        <v>1</v>
      </c>
      <c r="N821">
        <v>1</v>
      </c>
      <c r="P821">
        <v>4</v>
      </c>
    </row>
    <row r="822" spans="1:17">
      <c r="A822" t="s">
        <v>1021</v>
      </c>
      <c r="B822" t="s">
        <v>1026</v>
      </c>
      <c r="C822">
        <v>1.9E-2</v>
      </c>
      <c r="D822" t="s">
        <v>757</v>
      </c>
      <c r="E822" t="s">
        <v>965</v>
      </c>
      <c r="F822" t="s">
        <v>1055</v>
      </c>
      <c r="G822" t="s">
        <v>1036</v>
      </c>
      <c r="H822">
        <v>0.66200000000000003</v>
      </c>
      <c r="K822">
        <v>108159763</v>
      </c>
      <c r="L822" s="2">
        <v>45838</v>
      </c>
      <c r="M822">
        <v>1</v>
      </c>
      <c r="N822">
        <v>1</v>
      </c>
      <c r="O822">
        <v>0</v>
      </c>
      <c r="P822">
        <v>4</v>
      </c>
      <c r="Q822" t="s">
        <v>10</v>
      </c>
    </row>
    <row r="823" spans="1:17">
      <c r="A823" t="s">
        <v>1021</v>
      </c>
      <c r="B823" t="s">
        <v>1026</v>
      </c>
      <c r="C823">
        <v>2.5000000000000001E-2</v>
      </c>
      <c r="D823" t="s">
        <v>764</v>
      </c>
      <c r="E823" t="s">
        <v>965</v>
      </c>
      <c r="F823" t="s">
        <v>1055</v>
      </c>
      <c r="G823" t="s">
        <v>1036</v>
      </c>
      <c r="H823">
        <v>0.66800000000000004</v>
      </c>
      <c r="K823">
        <v>107644548</v>
      </c>
      <c r="L823" s="2">
        <v>45352</v>
      </c>
      <c r="M823">
        <v>1</v>
      </c>
      <c r="N823">
        <v>1</v>
      </c>
      <c r="O823">
        <v>0</v>
      </c>
      <c r="P823">
        <v>4</v>
      </c>
      <c r="Q823" t="s">
        <v>8</v>
      </c>
    </row>
    <row r="824" spans="1:17">
      <c r="A824" t="s">
        <v>1021</v>
      </c>
      <c r="B824" t="s">
        <v>1026</v>
      </c>
      <c r="C824">
        <v>2.8000000000000001E-2</v>
      </c>
      <c r="D824" t="s">
        <v>764</v>
      </c>
      <c r="E824" t="s">
        <v>965</v>
      </c>
      <c r="F824" t="s">
        <v>1096</v>
      </c>
      <c r="G824" t="s">
        <v>1036</v>
      </c>
      <c r="H824">
        <v>0.67100000000000004</v>
      </c>
      <c r="K824">
        <v>105445148</v>
      </c>
      <c r="L824" s="2">
        <v>43179</v>
      </c>
      <c r="M824">
        <v>19</v>
      </c>
      <c r="N824">
        <v>2</v>
      </c>
      <c r="O824">
        <v>0</v>
      </c>
      <c r="P824">
        <v>5</v>
      </c>
      <c r="Q824" t="s">
        <v>7</v>
      </c>
    </row>
    <row r="825" spans="1:17">
      <c r="A825" t="s">
        <v>1021</v>
      </c>
      <c r="B825" t="s">
        <v>965</v>
      </c>
      <c r="C825">
        <v>0.01</v>
      </c>
      <c r="D825" t="s">
        <v>6</v>
      </c>
      <c r="E825" t="s">
        <v>1026</v>
      </c>
      <c r="F825" t="s">
        <v>1097</v>
      </c>
      <c r="G825" t="s">
        <v>1063</v>
      </c>
      <c r="H825">
        <v>0.01</v>
      </c>
      <c r="K825">
        <v>107423319</v>
      </c>
      <c r="L825" s="2">
        <v>45149</v>
      </c>
      <c r="M825">
        <v>1</v>
      </c>
      <c r="N825">
        <v>1</v>
      </c>
      <c r="O825">
        <v>0</v>
      </c>
      <c r="P825">
        <v>5</v>
      </c>
      <c r="Q825" t="s">
        <v>7</v>
      </c>
    </row>
    <row r="826" spans="1:17">
      <c r="A826" t="s">
        <v>1021</v>
      </c>
      <c r="B826" t="s">
        <v>965</v>
      </c>
      <c r="C826">
        <v>8.2000000000000003E-2</v>
      </c>
      <c r="D826" t="s">
        <v>758</v>
      </c>
      <c r="E826" t="s">
        <v>1097</v>
      </c>
      <c r="G826" t="s">
        <v>1063</v>
      </c>
      <c r="H826">
        <v>8.2000000000000003E-2</v>
      </c>
      <c r="K826">
        <v>107436572</v>
      </c>
      <c r="L826" s="2">
        <v>45166</v>
      </c>
      <c r="M826">
        <v>29</v>
      </c>
      <c r="N826">
        <v>1</v>
      </c>
      <c r="O826">
        <v>0</v>
      </c>
      <c r="P826">
        <v>1</v>
      </c>
      <c r="Q826" t="s">
        <v>7</v>
      </c>
    </row>
    <row r="827" spans="1:17">
      <c r="A827" t="s">
        <v>1021</v>
      </c>
      <c r="B827" t="s">
        <v>965</v>
      </c>
      <c r="C827">
        <v>7.5999999999999998E-2</v>
      </c>
      <c r="D827" t="s">
        <v>758</v>
      </c>
      <c r="E827" t="s">
        <v>1097</v>
      </c>
      <c r="F827" t="s">
        <v>1026</v>
      </c>
      <c r="G827" t="s">
        <v>1063</v>
      </c>
      <c r="H827">
        <v>8.7999999999999995E-2</v>
      </c>
      <c r="K827">
        <v>105823341</v>
      </c>
      <c r="L827" s="2">
        <v>43542</v>
      </c>
      <c r="M827">
        <v>21</v>
      </c>
      <c r="N827">
        <v>1</v>
      </c>
      <c r="O827">
        <v>0</v>
      </c>
      <c r="P827">
        <v>1</v>
      </c>
      <c r="Q827" t="s">
        <v>7</v>
      </c>
    </row>
    <row r="828" spans="1:17">
      <c r="A828" t="s">
        <v>1021</v>
      </c>
      <c r="B828" t="s">
        <v>965</v>
      </c>
      <c r="C828">
        <v>0.28399999999999997</v>
      </c>
      <c r="D828" t="s">
        <v>756</v>
      </c>
      <c r="E828" t="s">
        <v>1035</v>
      </c>
      <c r="F828" t="s">
        <v>1097</v>
      </c>
      <c r="G828" t="s">
        <v>1063</v>
      </c>
      <c r="H828">
        <v>0.121</v>
      </c>
      <c r="K828">
        <v>108395749</v>
      </c>
      <c r="L828" s="2">
        <v>46062</v>
      </c>
      <c r="M828">
        <v>17</v>
      </c>
      <c r="N828">
        <v>1</v>
      </c>
      <c r="O828">
        <v>0</v>
      </c>
      <c r="P828">
        <v>4</v>
      </c>
      <c r="Q828" t="s">
        <v>7</v>
      </c>
    </row>
    <row r="829" spans="1:17">
      <c r="A829" t="s">
        <v>1021</v>
      </c>
      <c r="B829" t="s">
        <v>965</v>
      </c>
      <c r="C829">
        <v>1E-3</v>
      </c>
      <c r="D829" t="s">
        <v>758</v>
      </c>
      <c r="E829" t="s">
        <v>1097</v>
      </c>
      <c r="F829" t="s">
        <v>1026</v>
      </c>
      <c r="G829" t="s">
        <v>1063</v>
      </c>
      <c r="H829">
        <v>0.16300000000000001</v>
      </c>
      <c r="K829">
        <v>108285263</v>
      </c>
      <c r="L829" s="2">
        <v>45959</v>
      </c>
      <c r="M829">
        <v>24</v>
      </c>
      <c r="N829">
        <v>2</v>
      </c>
      <c r="O829">
        <v>12</v>
      </c>
      <c r="P829">
        <v>5</v>
      </c>
      <c r="Q829" t="s">
        <v>7</v>
      </c>
    </row>
    <row r="830" spans="1:17">
      <c r="A830" t="s">
        <v>1021</v>
      </c>
      <c r="B830" t="s">
        <v>965</v>
      </c>
      <c r="C830">
        <v>0</v>
      </c>
      <c r="E830" t="s">
        <v>1097</v>
      </c>
      <c r="F830" t="s">
        <v>1099</v>
      </c>
      <c r="G830" t="s">
        <v>1063</v>
      </c>
      <c r="H830">
        <v>0.16400000000000001</v>
      </c>
      <c r="K830">
        <v>106223036</v>
      </c>
      <c r="L830" s="2">
        <v>43902</v>
      </c>
      <c r="M830">
        <v>30</v>
      </c>
      <c r="N830">
        <v>1</v>
      </c>
      <c r="O830">
        <v>7</v>
      </c>
      <c r="P830">
        <v>1</v>
      </c>
      <c r="Q830" t="s">
        <v>7</v>
      </c>
    </row>
    <row r="831" spans="1:17">
      <c r="A831" t="s">
        <v>1021</v>
      </c>
      <c r="B831" t="s">
        <v>1097</v>
      </c>
      <c r="C831">
        <v>0</v>
      </c>
      <c r="E831" t="s">
        <v>965</v>
      </c>
      <c r="F831" t="s">
        <v>1097</v>
      </c>
      <c r="G831" t="s">
        <v>1063</v>
      </c>
      <c r="H831">
        <v>0.16400000000000001</v>
      </c>
      <c r="K831">
        <v>105777172</v>
      </c>
      <c r="L831" s="2">
        <v>43505</v>
      </c>
      <c r="M831">
        <v>2</v>
      </c>
      <c r="N831">
        <v>1</v>
      </c>
      <c r="O831">
        <v>0</v>
      </c>
      <c r="P831">
        <v>5</v>
      </c>
      <c r="Q831" t="s">
        <v>7</v>
      </c>
    </row>
    <row r="832" spans="1:17">
      <c r="A832" t="s">
        <v>1021</v>
      </c>
      <c r="B832" t="s">
        <v>965</v>
      </c>
      <c r="C832">
        <v>4.0000000000000001E-3</v>
      </c>
      <c r="D832" t="s">
        <v>762</v>
      </c>
      <c r="E832" t="s">
        <v>1097</v>
      </c>
      <c r="F832" t="s">
        <v>995</v>
      </c>
      <c r="G832" t="s">
        <v>1063</v>
      </c>
      <c r="H832">
        <v>0.16800000000000001</v>
      </c>
      <c r="K832">
        <v>108315871</v>
      </c>
      <c r="L832" s="2">
        <v>45983</v>
      </c>
      <c r="M832">
        <v>1</v>
      </c>
      <c r="N832">
        <v>1</v>
      </c>
      <c r="O832">
        <v>0</v>
      </c>
      <c r="P832">
        <v>2</v>
      </c>
      <c r="Q832" t="s">
        <v>3</v>
      </c>
    </row>
    <row r="833" spans="1:17">
      <c r="A833" t="s">
        <v>1021</v>
      </c>
      <c r="B833" t="s">
        <v>965</v>
      </c>
      <c r="C833">
        <v>1.9E-2</v>
      </c>
      <c r="D833" t="s">
        <v>756</v>
      </c>
      <c r="E833" t="s">
        <v>1097</v>
      </c>
      <c r="F833" t="s">
        <v>1099</v>
      </c>
      <c r="G833" t="s">
        <v>1063</v>
      </c>
      <c r="H833">
        <v>0.183</v>
      </c>
      <c r="K833">
        <v>106456267</v>
      </c>
      <c r="L833" s="2">
        <v>44172</v>
      </c>
      <c r="M833">
        <v>1</v>
      </c>
      <c r="N833">
        <v>2</v>
      </c>
      <c r="O833">
        <v>0</v>
      </c>
      <c r="P833">
        <v>1</v>
      </c>
      <c r="Q833" t="s">
        <v>7</v>
      </c>
    </row>
    <row r="834" spans="1:17">
      <c r="A834" t="s">
        <v>1021</v>
      </c>
      <c r="B834" t="s">
        <v>1099</v>
      </c>
      <c r="C834">
        <v>0</v>
      </c>
      <c r="E834" t="s">
        <v>965</v>
      </c>
      <c r="F834" t="s">
        <v>1099</v>
      </c>
      <c r="G834" t="s">
        <v>1063</v>
      </c>
      <c r="H834">
        <v>0.311</v>
      </c>
      <c r="K834">
        <v>108387249</v>
      </c>
      <c r="L834" s="2">
        <v>46052</v>
      </c>
      <c r="M834">
        <v>31</v>
      </c>
      <c r="N834">
        <v>1</v>
      </c>
      <c r="O834">
        <v>11</v>
      </c>
      <c r="P834">
        <v>5</v>
      </c>
      <c r="Q834" t="s">
        <v>7</v>
      </c>
    </row>
    <row r="835" spans="1:17">
      <c r="A835" t="s">
        <v>1021</v>
      </c>
      <c r="B835" t="s">
        <v>965</v>
      </c>
      <c r="C835">
        <v>0</v>
      </c>
      <c r="E835" t="s">
        <v>1099</v>
      </c>
      <c r="F835" t="s">
        <v>1062</v>
      </c>
      <c r="G835" t="s">
        <v>1063</v>
      </c>
      <c r="H835">
        <v>0.311</v>
      </c>
      <c r="K835">
        <v>106976592</v>
      </c>
      <c r="L835" s="2">
        <v>44714</v>
      </c>
      <c r="M835">
        <v>24</v>
      </c>
      <c r="N835">
        <v>1</v>
      </c>
      <c r="O835">
        <v>0</v>
      </c>
      <c r="P835">
        <v>1</v>
      </c>
      <c r="Q835" t="s">
        <v>7</v>
      </c>
    </row>
    <row r="836" spans="1:17">
      <c r="A836" t="s">
        <v>1021</v>
      </c>
      <c r="B836" t="s">
        <v>965</v>
      </c>
      <c r="C836">
        <v>0</v>
      </c>
      <c r="E836" t="s">
        <v>1099</v>
      </c>
      <c r="F836" t="s">
        <v>1062</v>
      </c>
      <c r="G836" t="s">
        <v>1063</v>
      </c>
      <c r="H836">
        <v>0.311</v>
      </c>
      <c r="K836">
        <v>105671753</v>
      </c>
      <c r="L836" s="2">
        <v>43392</v>
      </c>
      <c r="M836">
        <v>30</v>
      </c>
      <c r="N836">
        <v>1</v>
      </c>
      <c r="O836">
        <v>0</v>
      </c>
      <c r="P836">
        <v>1</v>
      </c>
      <c r="Q836" t="s">
        <v>3</v>
      </c>
    </row>
    <row r="837" spans="1:17">
      <c r="A837" t="s">
        <v>1021</v>
      </c>
      <c r="B837" t="s">
        <v>965</v>
      </c>
      <c r="C837">
        <v>0.13</v>
      </c>
      <c r="D837" t="s">
        <v>762</v>
      </c>
      <c r="E837" t="s">
        <v>1099</v>
      </c>
      <c r="F837" t="s">
        <v>1061</v>
      </c>
      <c r="G837" t="s">
        <v>1063</v>
      </c>
      <c r="H837">
        <v>0.441</v>
      </c>
      <c r="K837">
        <v>108390489</v>
      </c>
      <c r="L837" s="2">
        <v>46056</v>
      </c>
      <c r="M837">
        <v>1</v>
      </c>
      <c r="N837">
        <v>4</v>
      </c>
      <c r="O837">
        <v>0</v>
      </c>
      <c r="P837">
        <v>5</v>
      </c>
      <c r="Q837" t="s">
        <v>7</v>
      </c>
    </row>
    <row r="838" spans="1:17">
      <c r="A838" t="s">
        <v>1021</v>
      </c>
      <c r="B838" t="s">
        <v>965</v>
      </c>
      <c r="C838">
        <v>0</v>
      </c>
      <c r="E838" t="s">
        <v>1061</v>
      </c>
      <c r="F838" t="s">
        <v>1062</v>
      </c>
      <c r="G838" t="s">
        <v>1063</v>
      </c>
      <c r="H838">
        <v>0.48399999999999999</v>
      </c>
      <c r="K838">
        <v>107936452</v>
      </c>
      <c r="L838" s="2">
        <v>45622</v>
      </c>
      <c r="M838">
        <v>23</v>
      </c>
      <c r="N838">
        <v>1</v>
      </c>
      <c r="O838">
        <v>8</v>
      </c>
      <c r="P838">
        <v>1</v>
      </c>
      <c r="Q838" t="s">
        <v>7</v>
      </c>
    </row>
    <row r="839" spans="1:17">
      <c r="A839" t="s">
        <v>1021</v>
      </c>
      <c r="B839" t="s">
        <v>965</v>
      </c>
      <c r="C839">
        <v>4.0000000000000001E-3</v>
      </c>
      <c r="D839" t="s">
        <v>756</v>
      </c>
      <c r="E839" t="s">
        <v>1061</v>
      </c>
      <c r="F839" t="s">
        <v>1062</v>
      </c>
      <c r="G839" t="s">
        <v>1063</v>
      </c>
      <c r="H839">
        <v>0.48799999999999999</v>
      </c>
      <c r="K839">
        <v>104963629</v>
      </c>
      <c r="L839" s="2">
        <v>42706</v>
      </c>
      <c r="M839">
        <v>17</v>
      </c>
      <c r="N839">
        <v>1</v>
      </c>
      <c r="O839">
        <v>0</v>
      </c>
      <c r="P839">
        <v>1</v>
      </c>
      <c r="Q839" t="s">
        <v>7</v>
      </c>
    </row>
    <row r="840" spans="1:17">
      <c r="A840" t="s">
        <v>1021</v>
      </c>
      <c r="B840" t="s">
        <v>965</v>
      </c>
      <c r="C840">
        <v>4.5999999999999999E-2</v>
      </c>
      <c r="D840" t="s">
        <v>762</v>
      </c>
      <c r="E840" t="s">
        <v>1061</v>
      </c>
      <c r="F840" t="s">
        <v>1062</v>
      </c>
      <c r="G840" t="s">
        <v>1063</v>
      </c>
      <c r="H840">
        <v>0.53</v>
      </c>
      <c r="K840">
        <v>108042998</v>
      </c>
      <c r="L840" s="2">
        <v>45726</v>
      </c>
      <c r="M840">
        <v>21</v>
      </c>
      <c r="N840">
        <v>1</v>
      </c>
      <c r="O840">
        <v>7</v>
      </c>
      <c r="P840">
        <v>1</v>
      </c>
      <c r="Q840" t="s">
        <v>7</v>
      </c>
    </row>
    <row r="841" spans="1:17">
      <c r="A841" t="s">
        <v>1021</v>
      </c>
      <c r="B841" t="s">
        <v>965</v>
      </c>
      <c r="C841">
        <v>4.0000000000000001E-3</v>
      </c>
      <c r="D841" t="s">
        <v>758</v>
      </c>
      <c r="E841" t="s">
        <v>1062</v>
      </c>
      <c r="G841" t="s">
        <v>1063</v>
      </c>
      <c r="H841">
        <v>0.53500000000000003</v>
      </c>
      <c r="K841">
        <v>107360935</v>
      </c>
      <c r="L841" s="2">
        <v>45064</v>
      </c>
      <c r="M841">
        <v>21</v>
      </c>
      <c r="N841">
        <v>1</v>
      </c>
      <c r="O841">
        <v>8</v>
      </c>
      <c r="P841">
        <v>1</v>
      </c>
      <c r="Q841" t="s">
        <v>7</v>
      </c>
    </row>
    <row r="842" spans="1:17">
      <c r="A842" t="s">
        <v>1021</v>
      </c>
      <c r="B842" t="s">
        <v>965</v>
      </c>
      <c r="C842">
        <v>0</v>
      </c>
      <c r="E842" t="s">
        <v>1062</v>
      </c>
      <c r="F842" t="s">
        <v>1162</v>
      </c>
      <c r="G842" t="s">
        <v>1063</v>
      </c>
      <c r="H842">
        <v>0.53900000000000003</v>
      </c>
      <c r="K842">
        <v>107290280</v>
      </c>
      <c r="L842" s="2">
        <v>45019</v>
      </c>
      <c r="M842">
        <v>21</v>
      </c>
      <c r="N842">
        <v>1</v>
      </c>
      <c r="O842">
        <v>0</v>
      </c>
      <c r="P842">
        <v>1</v>
      </c>
      <c r="Q842" t="s">
        <v>7</v>
      </c>
    </row>
    <row r="843" spans="1:17">
      <c r="A843" t="s">
        <v>1021</v>
      </c>
      <c r="B843" t="s">
        <v>965</v>
      </c>
      <c r="C843">
        <v>0</v>
      </c>
      <c r="E843" t="s">
        <v>1062</v>
      </c>
      <c r="F843" t="s">
        <v>1061</v>
      </c>
      <c r="G843" t="s">
        <v>1063</v>
      </c>
      <c r="H843">
        <v>0.53900000000000003</v>
      </c>
      <c r="K843">
        <v>105156545</v>
      </c>
      <c r="L843" s="2">
        <v>42909</v>
      </c>
      <c r="M843">
        <v>21</v>
      </c>
      <c r="N843">
        <v>1</v>
      </c>
      <c r="O843">
        <v>9</v>
      </c>
      <c r="P843">
        <v>1</v>
      </c>
      <c r="Q843" t="s">
        <v>3</v>
      </c>
    </row>
    <row r="844" spans="1:17">
      <c r="A844" t="s">
        <v>1021</v>
      </c>
      <c r="B844" t="s">
        <v>965</v>
      </c>
      <c r="C844">
        <v>0</v>
      </c>
      <c r="E844" t="s">
        <v>1062</v>
      </c>
      <c r="F844" t="s">
        <v>1061</v>
      </c>
      <c r="G844" t="s">
        <v>1063</v>
      </c>
      <c r="H844">
        <v>0.53900000000000003</v>
      </c>
      <c r="K844">
        <v>108086785</v>
      </c>
      <c r="L844" s="2">
        <v>45769</v>
      </c>
      <c r="M844">
        <v>21</v>
      </c>
      <c r="N844">
        <v>1</v>
      </c>
      <c r="O844">
        <v>7</v>
      </c>
      <c r="P844">
        <v>1</v>
      </c>
      <c r="Q844" t="s">
        <v>7</v>
      </c>
    </row>
    <row r="845" spans="1:17">
      <c r="A845" t="s">
        <v>1021</v>
      </c>
      <c r="B845" t="s">
        <v>965</v>
      </c>
      <c r="C845">
        <v>0</v>
      </c>
      <c r="E845" t="s">
        <v>1062</v>
      </c>
      <c r="F845" t="s">
        <v>1061</v>
      </c>
      <c r="G845" t="s">
        <v>1063</v>
      </c>
      <c r="H845">
        <v>0.53900000000000003</v>
      </c>
      <c r="K845">
        <v>105849289</v>
      </c>
      <c r="L845" s="2">
        <v>43556</v>
      </c>
      <c r="M845">
        <v>21</v>
      </c>
      <c r="N845">
        <v>1</v>
      </c>
      <c r="O845">
        <v>8</v>
      </c>
      <c r="P845">
        <v>5</v>
      </c>
      <c r="Q845" t="s">
        <v>7</v>
      </c>
    </row>
    <row r="846" spans="1:17">
      <c r="A846" t="s">
        <v>1021</v>
      </c>
      <c r="B846" t="s">
        <v>965</v>
      </c>
      <c r="C846">
        <v>0</v>
      </c>
      <c r="E846" t="s">
        <v>1062</v>
      </c>
      <c r="F846" t="s">
        <v>1061</v>
      </c>
      <c r="G846" t="s">
        <v>1063</v>
      </c>
      <c r="H846">
        <v>0.53900000000000003</v>
      </c>
      <c r="K846">
        <v>106186234</v>
      </c>
      <c r="L846" s="2">
        <v>43851</v>
      </c>
      <c r="M846">
        <v>21</v>
      </c>
      <c r="N846">
        <v>1</v>
      </c>
      <c r="O846">
        <v>7</v>
      </c>
      <c r="P846">
        <v>1</v>
      </c>
      <c r="Q846" t="s">
        <v>7</v>
      </c>
    </row>
    <row r="847" spans="1:17">
      <c r="A847" t="s">
        <v>1021</v>
      </c>
      <c r="B847" t="s">
        <v>965</v>
      </c>
      <c r="C847">
        <v>0</v>
      </c>
      <c r="E847" t="s">
        <v>1062</v>
      </c>
      <c r="F847" t="s">
        <v>1061</v>
      </c>
      <c r="G847" t="s">
        <v>1063</v>
      </c>
      <c r="H847">
        <v>0.53900000000000003</v>
      </c>
      <c r="K847">
        <v>106847025</v>
      </c>
      <c r="L847" s="2">
        <v>44592</v>
      </c>
      <c r="M847">
        <v>21</v>
      </c>
      <c r="N847">
        <v>1</v>
      </c>
      <c r="O847">
        <v>8</v>
      </c>
      <c r="P847">
        <v>1</v>
      </c>
      <c r="Q847" t="s">
        <v>7</v>
      </c>
    </row>
    <row r="848" spans="1:17">
      <c r="A848" t="s">
        <v>1021</v>
      </c>
      <c r="B848" t="s">
        <v>965</v>
      </c>
      <c r="C848">
        <v>0</v>
      </c>
      <c r="E848" t="s">
        <v>1062</v>
      </c>
      <c r="F848" t="s">
        <v>1061</v>
      </c>
      <c r="G848" t="s">
        <v>1063</v>
      </c>
      <c r="H848">
        <v>0.53900000000000003</v>
      </c>
      <c r="K848">
        <v>107072038</v>
      </c>
      <c r="L848" s="2">
        <v>44811</v>
      </c>
      <c r="M848">
        <v>21</v>
      </c>
      <c r="N848">
        <v>1</v>
      </c>
      <c r="O848">
        <v>0</v>
      </c>
      <c r="P848">
        <v>1</v>
      </c>
      <c r="Q848" t="s">
        <v>7</v>
      </c>
    </row>
    <row r="849" spans="1:17">
      <c r="A849" t="s">
        <v>1021</v>
      </c>
      <c r="B849" t="s">
        <v>965</v>
      </c>
      <c r="C849">
        <v>0</v>
      </c>
      <c r="E849" t="s">
        <v>1062</v>
      </c>
      <c r="F849" t="s">
        <v>1061</v>
      </c>
      <c r="G849" t="s">
        <v>1063</v>
      </c>
      <c r="H849">
        <v>0.53900000000000003</v>
      </c>
      <c r="K849">
        <v>108249653</v>
      </c>
      <c r="L849" s="2">
        <v>45932</v>
      </c>
      <c r="M849">
        <v>21</v>
      </c>
      <c r="N849">
        <v>1</v>
      </c>
      <c r="O849">
        <v>8</v>
      </c>
      <c r="P849">
        <v>1</v>
      </c>
      <c r="Q849" t="s">
        <v>7</v>
      </c>
    </row>
    <row r="850" spans="1:17">
      <c r="A850" t="s">
        <v>1021</v>
      </c>
      <c r="B850" t="s">
        <v>965</v>
      </c>
      <c r="C850">
        <v>0</v>
      </c>
      <c r="E850" t="s">
        <v>1062</v>
      </c>
      <c r="F850" t="s">
        <v>1061</v>
      </c>
      <c r="G850" t="s">
        <v>1063</v>
      </c>
      <c r="H850">
        <v>0.53900000000000003</v>
      </c>
      <c r="K850">
        <v>107581829</v>
      </c>
      <c r="L850" s="2">
        <v>45293</v>
      </c>
      <c r="M850">
        <v>21</v>
      </c>
      <c r="N850">
        <v>1</v>
      </c>
      <c r="O850">
        <v>9</v>
      </c>
      <c r="P850">
        <v>1</v>
      </c>
      <c r="Q850" t="s">
        <v>7</v>
      </c>
    </row>
    <row r="851" spans="1:17">
      <c r="A851" t="s">
        <v>1021</v>
      </c>
      <c r="B851" t="s">
        <v>965</v>
      </c>
      <c r="C851">
        <v>0</v>
      </c>
      <c r="E851" t="s">
        <v>1062</v>
      </c>
      <c r="G851" t="s">
        <v>1063</v>
      </c>
      <c r="H851">
        <v>0.53900000000000003</v>
      </c>
      <c r="K851">
        <v>107230485</v>
      </c>
      <c r="L851" s="2">
        <v>44957</v>
      </c>
      <c r="M851">
        <v>21</v>
      </c>
      <c r="N851">
        <v>1</v>
      </c>
      <c r="O851">
        <v>9</v>
      </c>
      <c r="P851">
        <v>1</v>
      </c>
      <c r="Q851" t="s">
        <v>7</v>
      </c>
    </row>
    <row r="852" spans="1:17">
      <c r="A852" t="s">
        <v>1021</v>
      </c>
      <c r="B852" t="s">
        <v>965</v>
      </c>
      <c r="C852">
        <v>0</v>
      </c>
      <c r="E852" t="s">
        <v>1062</v>
      </c>
      <c r="G852" t="s">
        <v>1063</v>
      </c>
      <c r="H852">
        <v>0.53900000000000003</v>
      </c>
      <c r="K852">
        <v>107496348</v>
      </c>
      <c r="L852" s="2">
        <v>45220</v>
      </c>
      <c r="M852">
        <v>21</v>
      </c>
      <c r="N852">
        <v>1</v>
      </c>
      <c r="O852">
        <v>9</v>
      </c>
      <c r="P852">
        <v>1</v>
      </c>
      <c r="Q852" t="s">
        <v>3</v>
      </c>
    </row>
    <row r="853" spans="1:17">
      <c r="A853" t="s">
        <v>1021</v>
      </c>
      <c r="B853" t="s">
        <v>979</v>
      </c>
      <c r="C853">
        <v>2.5999999999999999E-2</v>
      </c>
      <c r="D853" t="s">
        <v>763</v>
      </c>
      <c r="E853" t="s">
        <v>965</v>
      </c>
      <c r="F853" t="s">
        <v>1092</v>
      </c>
      <c r="G853" t="s">
        <v>979</v>
      </c>
      <c r="H853">
        <v>9.6370000000000005</v>
      </c>
      <c r="K853">
        <v>107906101</v>
      </c>
      <c r="L853" s="2">
        <v>45598</v>
      </c>
      <c r="M853">
        <v>17</v>
      </c>
      <c r="N853">
        <v>1</v>
      </c>
      <c r="O853">
        <v>0</v>
      </c>
      <c r="P853">
        <v>1</v>
      </c>
      <c r="Q853" t="s">
        <v>7</v>
      </c>
    </row>
    <row r="854" spans="1:17">
      <c r="A854" t="s">
        <v>1021</v>
      </c>
      <c r="B854" t="s">
        <v>979</v>
      </c>
      <c r="C854">
        <v>1.9E-2</v>
      </c>
      <c r="D854" t="s">
        <v>6</v>
      </c>
      <c r="E854" t="s">
        <v>965</v>
      </c>
      <c r="F854" t="s">
        <v>1092</v>
      </c>
      <c r="G854" t="s">
        <v>979</v>
      </c>
      <c r="H854">
        <v>9.6440000000000001</v>
      </c>
      <c r="K854">
        <v>108147858</v>
      </c>
      <c r="L854" s="2">
        <v>45828</v>
      </c>
      <c r="M854">
        <v>28</v>
      </c>
      <c r="N854">
        <v>1</v>
      </c>
      <c r="O854">
        <v>0</v>
      </c>
      <c r="P854">
        <v>4</v>
      </c>
      <c r="Q854" t="s">
        <v>3</v>
      </c>
    </row>
    <row r="855" spans="1:17">
      <c r="A855" t="s">
        <v>1021</v>
      </c>
      <c r="B855" t="s">
        <v>979</v>
      </c>
      <c r="C855">
        <v>2E-3</v>
      </c>
      <c r="D855" t="s">
        <v>6</v>
      </c>
      <c r="E855" t="s">
        <v>965</v>
      </c>
      <c r="F855" t="s">
        <v>1092</v>
      </c>
      <c r="G855" t="s">
        <v>979</v>
      </c>
      <c r="H855">
        <v>9.6609999999999996</v>
      </c>
      <c r="K855">
        <v>108028219</v>
      </c>
      <c r="L855" s="2">
        <v>45707</v>
      </c>
      <c r="M855">
        <v>1</v>
      </c>
      <c r="N855">
        <v>4</v>
      </c>
      <c r="O855">
        <v>0</v>
      </c>
      <c r="P855">
        <v>1</v>
      </c>
      <c r="Q855" t="s">
        <v>7</v>
      </c>
    </row>
    <row r="856" spans="1:17">
      <c r="A856" t="s">
        <v>1021</v>
      </c>
      <c r="B856" t="s">
        <v>979</v>
      </c>
      <c r="C856">
        <v>0</v>
      </c>
      <c r="E856" t="s">
        <v>965</v>
      </c>
      <c r="F856" t="s">
        <v>1052</v>
      </c>
      <c r="G856" t="s">
        <v>979</v>
      </c>
      <c r="H856">
        <v>9.6630000000000003</v>
      </c>
      <c r="K856">
        <v>106802229</v>
      </c>
      <c r="L856" s="2">
        <v>44447</v>
      </c>
      <c r="M856">
        <v>21</v>
      </c>
      <c r="N856">
        <v>1</v>
      </c>
      <c r="O856">
        <v>15</v>
      </c>
      <c r="P856">
        <v>1</v>
      </c>
      <c r="Q856" t="s">
        <v>7</v>
      </c>
    </row>
    <row r="857" spans="1:17">
      <c r="A857" t="s">
        <v>1021</v>
      </c>
      <c r="B857" t="s">
        <v>979</v>
      </c>
      <c r="C857">
        <v>0</v>
      </c>
      <c r="D857" t="s">
        <v>6</v>
      </c>
      <c r="E857" t="s">
        <v>965</v>
      </c>
      <c r="F857" t="s">
        <v>965</v>
      </c>
      <c r="G857" t="s">
        <v>979</v>
      </c>
      <c r="H857">
        <v>9.6630000000000003</v>
      </c>
      <c r="K857">
        <v>105720648</v>
      </c>
      <c r="L857" s="2">
        <v>43431</v>
      </c>
      <c r="M857">
        <v>1</v>
      </c>
      <c r="N857">
        <v>1</v>
      </c>
      <c r="O857">
        <v>0</v>
      </c>
      <c r="P857">
        <v>1</v>
      </c>
      <c r="Q857" t="s">
        <v>7</v>
      </c>
    </row>
    <row r="858" spans="1:17">
      <c r="A858" t="s">
        <v>1021</v>
      </c>
      <c r="B858" t="s">
        <v>979</v>
      </c>
      <c r="C858">
        <v>0</v>
      </c>
      <c r="D858" t="s">
        <v>757</v>
      </c>
      <c r="E858" t="s">
        <v>965</v>
      </c>
      <c r="F858" t="s">
        <v>1041</v>
      </c>
      <c r="G858" t="s">
        <v>979</v>
      </c>
      <c r="H858">
        <v>9.6630000000000003</v>
      </c>
      <c r="K858">
        <v>107255973</v>
      </c>
      <c r="L858" s="2">
        <v>44984</v>
      </c>
      <c r="M858">
        <v>28</v>
      </c>
      <c r="N858">
        <v>1</v>
      </c>
      <c r="O858">
        <v>20</v>
      </c>
      <c r="P858">
        <v>1</v>
      </c>
      <c r="Q858" t="s">
        <v>7</v>
      </c>
    </row>
    <row r="859" spans="1:17">
      <c r="A859" t="s">
        <v>1021</v>
      </c>
      <c r="B859" t="s">
        <v>979</v>
      </c>
      <c r="C859">
        <v>0</v>
      </c>
      <c r="D859" t="s">
        <v>6</v>
      </c>
      <c r="E859" t="s">
        <v>965</v>
      </c>
      <c r="F859" t="s">
        <v>1041</v>
      </c>
      <c r="G859" t="s">
        <v>979</v>
      </c>
      <c r="H859">
        <v>9.6630000000000003</v>
      </c>
      <c r="K859">
        <v>107397084</v>
      </c>
      <c r="L859" s="2">
        <v>45121</v>
      </c>
      <c r="M859">
        <v>28</v>
      </c>
      <c r="N859">
        <v>1</v>
      </c>
      <c r="O859">
        <v>0</v>
      </c>
      <c r="P859">
        <v>1</v>
      </c>
      <c r="Q859" t="s">
        <v>7</v>
      </c>
    </row>
    <row r="860" spans="1:17">
      <c r="A860" t="s">
        <v>1021</v>
      </c>
      <c r="B860" t="s">
        <v>979</v>
      </c>
      <c r="C860">
        <v>0</v>
      </c>
      <c r="E860" t="s">
        <v>965</v>
      </c>
      <c r="F860" t="s">
        <v>1051</v>
      </c>
      <c r="G860" t="s">
        <v>979</v>
      </c>
      <c r="H860">
        <v>9.6630000000000003</v>
      </c>
      <c r="K860">
        <v>106296411</v>
      </c>
      <c r="L860" s="2">
        <v>43991</v>
      </c>
      <c r="M860">
        <v>21</v>
      </c>
      <c r="N860">
        <v>1</v>
      </c>
      <c r="O860">
        <v>7</v>
      </c>
      <c r="P860">
        <v>1</v>
      </c>
      <c r="Q860" t="s">
        <v>7</v>
      </c>
    </row>
    <row r="861" spans="1:17">
      <c r="A861" t="s">
        <v>1021</v>
      </c>
      <c r="B861" t="s">
        <v>979</v>
      </c>
      <c r="C861">
        <v>0</v>
      </c>
      <c r="E861" t="s">
        <v>965</v>
      </c>
      <c r="F861" t="s">
        <v>1051</v>
      </c>
      <c r="G861" t="s">
        <v>979</v>
      </c>
      <c r="H861">
        <v>9.6630000000000003</v>
      </c>
      <c r="K861">
        <v>105432179</v>
      </c>
      <c r="L861" s="2">
        <v>43164</v>
      </c>
      <c r="M861">
        <v>28</v>
      </c>
      <c r="N861">
        <v>1</v>
      </c>
      <c r="O861">
        <v>0</v>
      </c>
      <c r="P861">
        <v>1</v>
      </c>
      <c r="Q861" t="s">
        <v>7</v>
      </c>
    </row>
    <row r="862" spans="1:17">
      <c r="A862" t="s">
        <v>1021</v>
      </c>
      <c r="B862" t="s">
        <v>979</v>
      </c>
      <c r="C862">
        <v>0</v>
      </c>
      <c r="E862" t="s">
        <v>965</v>
      </c>
      <c r="F862" t="s">
        <v>1092</v>
      </c>
      <c r="G862" t="s">
        <v>979</v>
      </c>
      <c r="H862">
        <v>9.6630000000000003</v>
      </c>
      <c r="K862">
        <v>105091228</v>
      </c>
      <c r="L862" s="2">
        <v>42846</v>
      </c>
      <c r="M862">
        <v>28</v>
      </c>
      <c r="N862">
        <v>1</v>
      </c>
      <c r="O862">
        <v>0</v>
      </c>
      <c r="P862">
        <v>1</v>
      </c>
      <c r="Q862" t="s">
        <v>7</v>
      </c>
    </row>
    <row r="863" spans="1:17">
      <c r="A863" t="s">
        <v>1021</v>
      </c>
      <c r="B863" t="s">
        <v>979</v>
      </c>
      <c r="C863">
        <v>0</v>
      </c>
      <c r="E863" t="s">
        <v>965</v>
      </c>
      <c r="F863" t="s">
        <v>1195</v>
      </c>
      <c r="G863" t="s">
        <v>979</v>
      </c>
      <c r="H863">
        <v>9.6630000000000003</v>
      </c>
      <c r="K863">
        <v>108535695</v>
      </c>
      <c r="L863" s="2">
        <v>46193</v>
      </c>
      <c r="M863">
        <v>21</v>
      </c>
      <c r="N863">
        <v>1</v>
      </c>
      <c r="O863">
        <v>0</v>
      </c>
      <c r="P863">
        <v>4</v>
      </c>
      <c r="Q863" t="s">
        <v>3</v>
      </c>
    </row>
    <row r="864" spans="1:17">
      <c r="A864" t="s">
        <v>1021</v>
      </c>
      <c r="B864" t="s">
        <v>979</v>
      </c>
      <c r="C864">
        <v>0</v>
      </c>
      <c r="E864" t="s">
        <v>965</v>
      </c>
      <c r="F864" t="s">
        <v>1071</v>
      </c>
      <c r="G864" t="s">
        <v>979</v>
      </c>
      <c r="H864">
        <v>9.6630000000000003</v>
      </c>
      <c r="K864">
        <v>105372647</v>
      </c>
      <c r="L864" s="2">
        <v>43106</v>
      </c>
      <c r="M864">
        <v>1</v>
      </c>
      <c r="N864">
        <v>4</v>
      </c>
      <c r="O864">
        <v>16</v>
      </c>
      <c r="P864">
        <v>1</v>
      </c>
      <c r="Q864" t="s">
        <v>7</v>
      </c>
    </row>
    <row r="865" spans="1:22">
      <c r="A865" t="s">
        <v>1021</v>
      </c>
      <c r="B865" t="s">
        <v>979</v>
      </c>
      <c r="C865">
        <v>0</v>
      </c>
      <c r="E865" t="s">
        <v>965</v>
      </c>
      <c r="F865" t="s">
        <v>1071</v>
      </c>
      <c r="G865" t="s">
        <v>979</v>
      </c>
      <c r="H865">
        <v>9.6630000000000003</v>
      </c>
      <c r="K865">
        <v>106802384</v>
      </c>
      <c r="L865" s="2">
        <v>44515</v>
      </c>
      <c r="M865">
        <v>17</v>
      </c>
      <c r="N865">
        <v>1</v>
      </c>
      <c r="O865">
        <v>0</v>
      </c>
      <c r="P865">
        <v>2</v>
      </c>
      <c r="Q865" t="s">
        <v>7</v>
      </c>
    </row>
    <row r="866" spans="1:22">
      <c r="A866" t="s">
        <v>1021</v>
      </c>
      <c r="B866" t="s">
        <v>979</v>
      </c>
      <c r="C866">
        <v>0</v>
      </c>
      <c r="E866" t="s">
        <v>965</v>
      </c>
      <c r="F866" t="s">
        <v>1071</v>
      </c>
      <c r="G866" t="s">
        <v>979</v>
      </c>
      <c r="H866">
        <v>9.6630000000000003</v>
      </c>
      <c r="K866">
        <v>107622107</v>
      </c>
      <c r="L866" s="2">
        <v>45333</v>
      </c>
      <c r="M866">
        <v>28</v>
      </c>
      <c r="N866">
        <v>2</v>
      </c>
      <c r="O866">
        <v>18</v>
      </c>
      <c r="P866">
        <v>1</v>
      </c>
      <c r="Q866" t="s">
        <v>7</v>
      </c>
    </row>
    <row r="867" spans="1:22">
      <c r="A867" t="s">
        <v>1021</v>
      </c>
      <c r="B867" t="s">
        <v>979</v>
      </c>
      <c r="C867">
        <v>0</v>
      </c>
      <c r="E867" t="s">
        <v>965</v>
      </c>
      <c r="F867" t="s">
        <v>1071</v>
      </c>
      <c r="G867" t="s">
        <v>979</v>
      </c>
      <c r="H867">
        <v>9.6630000000000003</v>
      </c>
      <c r="K867">
        <v>105382917</v>
      </c>
      <c r="L867" s="2">
        <v>43106</v>
      </c>
      <c r="M867">
        <v>30</v>
      </c>
      <c r="N867">
        <v>4</v>
      </c>
      <c r="O867">
        <v>16</v>
      </c>
      <c r="P867">
        <v>1</v>
      </c>
      <c r="Q867" t="s">
        <v>7</v>
      </c>
    </row>
    <row r="868" spans="1:22">
      <c r="A868" t="s">
        <v>1021</v>
      </c>
      <c r="B868" t="s">
        <v>979</v>
      </c>
      <c r="C868">
        <v>0</v>
      </c>
      <c r="E868" t="s">
        <v>965</v>
      </c>
      <c r="G868" t="s">
        <v>979</v>
      </c>
      <c r="H868">
        <v>9.6630000000000003</v>
      </c>
      <c r="K868">
        <v>106296404</v>
      </c>
      <c r="L868" s="2">
        <v>43985</v>
      </c>
      <c r="M868">
        <v>21</v>
      </c>
      <c r="N868">
        <v>1</v>
      </c>
      <c r="O868">
        <v>8</v>
      </c>
      <c r="P868">
        <v>1</v>
      </c>
      <c r="Q868" t="s">
        <v>7</v>
      </c>
    </row>
    <row r="869" spans="1:22">
      <c r="A869" t="s">
        <v>1021</v>
      </c>
      <c r="B869" t="s">
        <v>979</v>
      </c>
      <c r="C869">
        <v>6.0000000000000001E-3</v>
      </c>
      <c r="D869" t="s">
        <v>764</v>
      </c>
      <c r="E869" t="s">
        <v>965</v>
      </c>
      <c r="F869" t="s">
        <v>1071</v>
      </c>
      <c r="G869" t="s">
        <v>979</v>
      </c>
      <c r="H869">
        <v>9.6690000000000005</v>
      </c>
      <c r="K869">
        <v>107997154</v>
      </c>
      <c r="L869" s="2">
        <v>45679</v>
      </c>
      <c r="M869">
        <v>19</v>
      </c>
      <c r="N869">
        <v>4</v>
      </c>
      <c r="O869">
        <v>19</v>
      </c>
      <c r="P869">
        <v>1</v>
      </c>
      <c r="Q869" t="s">
        <v>7</v>
      </c>
    </row>
    <row r="870" spans="1:22">
      <c r="A870" t="s">
        <v>1021</v>
      </c>
      <c r="B870" t="s">
        <v>979</v>
      </c>
      <c r="C870">
        <v>8.9999999999999993E-3</v>
      </c>
      <c r="D870" t="s">
        <v>757</v>
      </c>
      <c r="E870" t="s">
        <v>965</v>
      </c>
      <c r="F870" t="s">
        <v>1071</v>
      </c>
      <c r="G870" t="s">
        <v>979</v>
      </c>
      <c r="H870">
        <v>9.6720000000000006</v>
      </c>
      <c r="K870">
        <v>106586147</v>
      </c>
      <c r="L870" s="2">
        <v>44295</v>
      </c>
      <c r="M870">
        <v>21</v>
      </c>
      <c r="N870">
        <v>2</v>
      </c>
      <c r="O870">
        <v>20</v>
      </c>
      <c r="P870">
        <v>1</v>
      </c>
      <c r="Q870" t="s">
        <v>7</v>
      </c>
    </row>
    <row r="871" spans="1:22">
      <c r="A871" t="s">
        <v>1021</v>
      </c>
      <c r="B871" t="s">
        <v>979</v>
      </c>
      <c r="C871">
        <v>1.9E-2</v>
      </c>
      <c r="D871" t="s">
        <v>757</v>
      </c>
      <c r="E871" t="s">
        <v>965</v>
      </c>
      <c r="F871" t="s">
        <v>1051</v>
      </c>
      <c r="G871" t="s">
        <v>979</v>
      </c>
      <c r="H871">
        <v>9.6820000000000004</v>
      </c>
      <c r="K871">
        <v>105962992</v>
      </c>
      <c r="L871" s="2">
        <v>43681</v>
      </c>
      <c r="M871">
        <v>1</v>
      </c>
      <c r="N871">
        <v>2</v>
      </c>
      <c r="O871">
        <v>20</v>
      </c>
      <c r="P871">
        <v>1</v>
      </c>
      <c r="Q871" t="s">
        <v>7</v>
      </c>
    </row>
    <row r="872" spans="1:22">
      <c r="A872" t="s">
        <v>1021</v>
      </c>
      <c r="B872" t="s">
        <v>979</v>
      </c>
      <c r="C872">
        <v>1.9E-2</v>
      </c>
      <c r="D872" t="s">
        <v>764</v>
      </c>
      <c r="E872" t="s">
        <v>965</v>
      </c>
      <c r="F872" t="s">
        <v>1051</v>
      </c>
      <c r="G872" t="s">
        <v>979</v>
      </c>
      <c r="H872">
        <v>9.6820000000000004</v>
      </c>
      <c r="K872">
        <v>107681327</v>
      </c>
      <c r="L872" s="2">
        <v>45391</v>
      </c>
      <c r="M872">
        <v>28</v>
      </c>
      <c r="N872">
        <v>2</v>
      </c>
      <c r="O872">
        <v>0</v>
      </c>
      <c r="P872">
        <v>1</v>
      </c>
      <c r="Q872" t="s">
        <v>7</v>
      </c>
    </row>
    <row r="873" spans="1:22">
      <c r="A873" t="s">
        <v>1021</v>
      </c>
      <c r="B873" t="s">
        <v>979</v>
      </c>
      <c r="C873">
        <v>1.9E-2</v>
      </c>
      <c r="D873" t="s">
        <v>757</v>
      </c>
      <c r="E873" t="s">
        <v>965</v>
      </c>
      <c r="F873" t="s">
        <v>1071</v>
      </c>
      <c r="G873" t="s">
        <v>979</v>
      </c>
      <c r="H873">
        <v>9.6820000000000004</v>
      </c>
      <c r="K873">
        <v>107053944</v>
      </c>
      <c r="L873" s="2">
        <v>44793</v>
      </c>
      <c r="M873">
        <v>1</v>
      </c>
      <c r="N873">
        <v>1</v>
      </c>
      <c r="O873">
        <v>19</v>
      </c>
      <c r="P873">
        <v>4</v>
      </c>
      <c r="Q873" t="s">
        <v>7</v>
      </c>
    </row>
    <row r="874" spans="1:22">
      <c r="A874" t="s">
        <v>1021</v>
      </c>
      <c r="B874" t="s">
        <v>979</v>
      </c>
      <c r="C874">
        <v>1.9E-2</v>
      </c>
      <c r="D874" t="s">
        <v>757</v>
      </c>
      <c r="E874" t="s">
        <v>965</v>
      </c>
      <c r="F874" t="s">
        <v>1071</v>
      </c>
      <c r="G874" t="s">
        <v>979</v>
      </c>
      <c r="H874">
        <v>9.6820000000000004</v>
      </c>
      <c r="K874">
        <v>107150001</v>
      </c>
      <c r="L874" s="2">
        <v>44868</v>
      </c>
      <c r="M874">
        <v>17</v>
      </c>
      <c r="N874">
        <v>1</v>
      </c>
      <c r="O874">
        <v>0</v>
      </c>
      <c r="P874">
        <v>5</v>
      </c>
      <c r="Q874" t="s">
        <v>7</v>
      </c>
    </row>
    <row r="875" spans="1:22">
      <c r="A875" t="s">
        <v>1021</v>
      </c>
      <c r="B875" t="s">
        <v>979</v>
      </c>
      <c r="C875">
        <v>0.02</v>
      </c>
      <c r="D875" t="s">
        <v>757</v>
      </c>
      <c r="E875" t="s">
        <v>965</v>
      </c>
      <c r="F875" t="s">
        <v>979</v>
      </c>
      <c r="G875" t="s">
        <v>979</v>
      </c>
      <c r="H875">
        <v>9.6829999999999998</v>
      </c>
      <c r="K875">
        <v>108020245</v>
      </c>
      <c r="L875" s="2">
        <v>45703</v>
      </c>
      <c r="M875">
        <v>1</v>
      </c>
      <c r="N875">
        <v>1</v>
      </c>
      <c r="O875">
        <v>19</v>
      </c>
      <c r="P875">
        <v>4</v>
      </c>
      <c r="Q875" t="s">
        <v>7</v>
      </c>
    </row>
    <row r="876" spans="1:22">
      <c r="A876" t="s">
        <v>1021</v>
      </c>
      <c r="B876" t="s">
        <v>979</v>
      </c>
      <c r="C876">
        <v>2.8000000000000001E-2</v>
      </c>
      <c r="D876" t="s">
        <v>757</v>
      </c>
      <c r="E876" t="s">
        <v>965</v>
      </c>
      <c r="F876" t="s">
        <v>1051</v>
      </c>
      <c r="G876" t="s">
        <v>979</v>
      </c>
      <c r="H876">
        <v>9.6910000000000007</v>
      </c>
      <c r="K876">
        <v>106480598</v>
      </c>
      <c r="L876" s="2">
        <v>44180</v>
      </c>
      <c r="M876">
        <v>28</v>
      </c>
      <c r="N876">
        <v>1</v>
      </c>
      <c r="P876">
        <v>1</v>
      </c>
      <c r="Q876" t="s">
        <v>7</v>
      </c>
    </row>
    <row r="877" spans="1:22">
      <c r="A877" t="s">
        <v>754</v>
      </c>
      <c r="B877" t="s">
        <v>968</v>
      </c>
      <c r="C877">
        <v>4.0000000000000001E-3</v>
      </c>
      <c r="D877" t="s">
        <v>6</v>
      </c>
      <c r="E877" t="s">
        <v>963</v>
      </c>
      <c r="F877" t="s">
        <v>979</v>
      </c>
      <c r="G877" t="s">
        <v>968</v>
      </c>
      <c r="H877">
        <v>7.585</v>
      </c>
      <c r="K877">
        <v>108386225</v>
      </c>
      <c r="L877" s="2">
        <v>46051</v>
      </c>
      <c r="M877">
        <v>32</v>
      </c>
      <c r="N877">
        <v>1</v>
      </c>
      <c r="O877">
        <v>0</v>
      </c>
      <c r="P877">
        <v>1</v>
      </c>
      <c r="Q877" t="s">
        <v>7</v>
      </c>
      <c r="R877">
        <v>35.175750000000001</v>
      </c>
      <c r="S877">
        <v>-79.429299999999998</v>
      </c>
      <c r="T877" t="s">
        <v>761</v>
      </c>
      <c r="U877" t="s">
        <v>367</v>
      </c>
      <c r="V877">
        <v>0.18490000000000001</v>
      </c>
    </row>
    <row r="878" spans="1:22">
      <c r="A878" t="s">
        <v>1021</v>
      </c>
      <c r="B878" t="s">
        <v>968</v>
      </c>
      <c r="C878">
        <v>0</v>
      </c>
      <c r="E878" t="s">
        <v>963</v>
      </c>
      <c r="F878" t="s">
        <v>965</v>
      </c>
      <c r="G878" t="s">
        <v>968</v>
      </c>
      <c r="H878">
        <v>7.5890000000000004</v>
      </c>
      <c r="K878">
        <v>106805656</v>
      </c>
      <c r="L878" s="2">
        <v>44546</v>
      </c>
      <c r="M878">
        <v>21</v>
      </c>
      <c r="N878">
        <v>1</v>
      </c>
      <c r="O878">
        <v>8</v>
      </c>
      <c r="P878">
        <v>1</v>
      </c>
      <c r="Q878" t="s">
        <v>7</v>
      </c>
    </row>
    <row r="879" spans="1:22">
      <c r="A879" t="s">
        <v>1021</v>
      </c>
      <c r="B879" t="s">
        <v>968</v>
      </c>
      <c r="C879">
        <v>0</v>
      </c>
      <c r="E879" t="s">
        <v>963</v>
      </c>
      <c r="F879" t="s">
        <v>965</v>
      </c>
      <c r="G879" t="s">
        <v>968</v>
      </c>
      <c r="H879">
        <v>7.5890000000000004</v>
      </c>
      <c r="K879">
        <v>105389685</v>
      </c>
      <c r="L879" s="2">
        <v>43145</v>
      </c>
      <c r="M879">
        <v>24</v>
      </c>
      <c r="N879">
        <v>1</v>
      </c>
      <c r="O879">
        <v>8</v>
      </c>
      <c r="P879">
        <v>1</v>
      </c>
      <c r="Q879" t="s">
        <v>8</v>
      </c>
    </row>
    <row r="880" spans="1:22">
      <c r="A880" t="s">
        <v>1021</v>
      </c>
      <c r="B880" t="s">
        <v>968</v>
      </c>
      <c r="C880">
        <v>0</v>
      </c>
      <c r="E880" t="s">
        <v>963</v>
      </c>
      <c r="F880" t="s">
        <v>1037</v>
      </c>
      <c r="G880" t="s">
        <v>968</v>
      </c>
      <c r="H880">
        <v>7.5890000000000004</v>
      </c>
      <c r="K880">
        <v>105532236</v>
      </c>
      <c r="L880" s="2">
        <v>43265</v>
      </c>
      <c r="M880">
        <v>21</v>
      </c>
      <c r="N880">
        <v>1</v>
      </c>
      <c r="O880">
        <v>0</v>
      </c>
      <c r="P880">
        <v>1</v>
      </c>
      <c r="Q880" t="s">
        <v>7</v>
      </c>
    </row>
    <row r="881" spans="1:17">
      <c r="A881" t="s">
        <v>1021</v>
      </c>
      <c r="B881" t="s">
        <v>968</v>
      </c>
      <c r="C881">
        <v>0</v>
      </c>
      <c r="E881" t="s">
        <v>963</v>
      </c>
      <c r="F881" t="s">
        <v>961</v>
      </c>
      <c r="G881" t="s">
        <v>968</v>
      </c>
      <c r="H881">
        <v>7.5890000000000004</v>
      </c>
      <c r="K881">
        <v>106744898</v>
      </c>
      <c r="L881" s="2">
        <v>44493</v>
      </c>
      <c r="M881">
        <v>24</v>
      </c>
      <c r="N881">
        <v>1</v>
      </c>
      <c r="O881">
        <v>8</v>
      </c>
      <c r="P881">
        <v>2</v>
      </c>
      <c r="Q881" t="s">
        <v>7</v>
      </c>
    </row>
    <row r="882" spans="1:17">
      <c r="A882" t="s">
        <v>1021</v>
      </c>
      <c r="B882" t="s">
        <v>968</v>
      </c>
      <c r="C882">
        <v>0</v>
      </c>
      <c r="E882" t="s">
        <v>963</v>
      </c>
      <c r="G882" t="s">
        <v>968</v>
      </c>
      <c r="H882">
        <v>7.5890000000000004</v>
      </c>
      <c r="K882">
        <v>105377035</v>
      </c>
      <c r="L882" s="2">
        <v>43126</v>
      </c>
      <c r="M882">
        <v>21</v>
      </c>
      <c r="N882">
        <v>1</v>
      </c>
      <c r="P882">
        <v>1</v>
      </c>
      <c r="Q882" t="s">
        <v>3</v>
      </c>
    </row>
    <row r="883" spans="1:17">
      <c r="A883" t="s">
        <v>1021</v>
      </c>
      <c r="B883" t="s">
        <v>968</v>
      </c>
      <c r="C883">
        <v>8.9999999999999993E-3</v>
      </c>
      <c r="D883" t="s">
        <v>757</v>
      </c>
      <c r="E883" t="s">
        <v>963</v>
      </c>
      <c r="F883" t="s">
        <v>965</v>
      </c>
      <c r="G883" t="s">
        <v>968</v>
      </c>
      <c r="H883">
        <v>7.5979999999999999</v>
      </c>
      <c r="K883">
        <v>106969127</v>
      </c>
      <c r="L883" s="2">
        <v>44708</v>
      </c>
      <c r="M883">
        <v>21</v>
      </c>
      <c r="N883">
        <v>2</v>
      </c>
      <c r="O883">
        <v>0</v>
      </c>
      <c r="P883">
        <v>1</v>
      </c>
      <c r="Q883" t="s">
        <v>7</v>
      </c>
    </row>
    <row r="884" spans="1:17">
      <c r="A884" t="s">
        <v>1021</v>
      </c>
      <c r="B884" t="s">
        <v>968</v>
      </c>
      <c r="C884">
        <v>8.9999999999999993E-3</v>
      </c>
      <c r="D884" t="s">
        <v>757</v>
      </c>
      <c r="E884" t="s">
        <v>963</v>
      </c>
      <c r="F884" t="s">
        <v>965</v>
      </c>
      <c r="G884" t="s">
        <v>968</v>
      </c>
      <c r="H884">
        <v>7.5979999999999999</v>
      </c>
      <c r="K884">
        <v>106285452</v>
      </c>
      <c r="L884" s="2">
        <v>43978</v>
      </c>
      <c r="M884">
        <v>29</v>
      </c>
      <c r="N884">
        <v>3</v>
      </c>
      <c r="O884">
        <v>7</v>
      </c>
      <c r="P884">
        <v>1</v>
      </c>
      <c r="Q884" t="s">
        <v>3</v>
      </c>
    </row>
    <row r="885" spans="1:17">
      <c r="A885" t="s">
        <v>1021</v>
      </c>
      <c r="B885" t="s">
        <v>968</v>
      </c>
      <c r="C885">
        <v>2.7E-2</v>
      </c>
      <c r="D885" t="s">
        <v>757</v>
      </c>
      <c r="E885" t="s">
        <v>963</v>
      </c>
      <c r="F885" t="s">
        <v>965</v>
      </c>
      <c r="G885" t="s">
        <v>968</v>
      </c>
      <c r="H885">
        <v>7.6159999999999997</v>
      </c>
      <c r="K885">
        <v>105777175</v>
      </c>
      <c r="L885" s="2">
        <v>43497</v>
      </c>
      <c r="M885">
        <v>21</v>
      </c>
      <c r="N885">
        <v>1</v>
      </c>
      <c r="O885">
        <v>0</v>
      </c>
      <c r="P885">
        <v>2</v>
      </c>
      <c r="Q885" t="s">
        <v>7</v>
      </c>
    </row>
    <row r="886" spans="1:17">
      <c r="A886" t="s">
        <v>1021</v>
      </c>
      <c r="B886" t="s">
        <v>968</v>
      </c>
      <c r="C886">
        <v>2.8000000000000001E-2</v>
      </c>
      <c r="D886" t="s">
        <v>762</v>
      </c>
      <c r="E886" t="s">
        <v>965</v>
      </c>
      <c r="F886" t="s">
        <v>963</v>
      </c>
      <c r="G886" t="s">
        <v>968</v>
      </c>
      <c r="H886">
        <v>7.7220000000000004</v>
      </c>
      <c r="K886">
        <v>108340932</v>
      </c>
      <c r="L886" s="2">
        <v>46008</v>
      </c>
      <c r="M886">
        <v>22</v>
      </c>
      <c r="N886">
        <v>1</v>
      </c>
      <c r="O886">
        <v>7</v>
      </c>
      <c r="P886">
        <v>4</v>
      </c>
      <c r="Q886" t="s">
        <v>7</v>
      </c>
    </row>
    <row r="887" spans="1:17">
      <c r="A887" t="s">
        <v>1021</v>
      </c>
      <c r="B887" t="s">
        <v>968</v>
      </c>
      <c r="C887">
        <v>0.02</v>
      </c>
      <c r="D887" t="s">
        <v>6</v>
      </c>
      <c r="E887" t="s">
        <v>965</v>
      </c>
      <c r="F887" t="s">
        <v>963</v>
      </c>
      <c r="G887" t="s">
        <v>968</v>
      </c>
      <c r="H887">
        <v>7.73</v>
      </c>
      <c r="K887">
        <v>107956108</v>
      </c>
      <c r="L887" s="2">
        <v>45637</v>
      </c>
      <c r="M887">
        <v>21</v>
      </c>
      <c r="N887">
        <v>1</v>
      </c>
      <c r="O887">
        <v>0</v>
      </c>
      <c r="P887">
        <v>6</v>
      </c>
      <c r="Q887" t="s">
        <v>7</v>
      </c>
    </row>
    <row r="888" spans="1:17">
      <c r="A888" t="s">
        <v>1021</v>
      </c>
      <c r="B888" t="s">
        <v>968</v>
      </c>
      <c r="C888">
        <v>1.9E-2</v>
      </c>
      <c r="D888" t="s">
        <v>762</v>
      </c>
      <c r="E888" t="s">
        <v>965</v>
      </c>
      <c r="F888" t="s">
        <v>963</v>
      </c>
      <c r="G888" t="s">
        <v>968</v>
      </c>
      <c r="H888">
        <v>7.7309999999999999</v>
      </c>
      <c r="K888">
        <v>107441145</v>
      </c>
      <c r="L888" s="2">
        <v>45168</v>
      </c>
      <c r="M888">
        <v>21</v>
      </c>
      <c r="N888">
        <v>2</v>
      </c>
      <c r="O888">
        <v>7</v>
      </c>
      <c r="P888">
        <v>1</v>
      </c>
      <c r="Q888" t="s">
        <v>7</v>
      </c>
    </row>
    <row r="889" spans="1:17">
      <c r="A889" t="s">
        <v>1021</v>
      </c>
      <c r="B889" t="s">
        <v>968</v>
      </c>
      <c r="C889">
        <v>1.9E-2</v>
      </c>
      <c r="D889" t="s">
        <v>6</v>
      </c>
      <c r="E889" t="s">
        <v>962</v>
      </c>
      <c r="F889" t="s">
        <v>1163</v>
      </c>
      <c r="G889" t="s">
        <v>968</v>
      </c>
      <c r="H889">
        <v>7.7309999999999999</v>
      </c>
      <c r="K889">
        <v>107238351</v>
      </c>
      <c r="L889" s="2">
        <v>44961</v>
      </c>
      <c r="M889">
        <v>28</v>
      </c>
      <c r="N889">
        <v>1</v>
      </c>
      <c r="O889">
        <v>7</v>
      </c>
      <c r="P889">
        <v>1</v>
      </c>
      <c r="Q889" t="s">
        <v>7</v>
      </c>
    </row>
    <row r="890" spans="1:17">
      <c r="A890" t="s">
        <v>1021</v>
      </c>
      <c r="B890" t="s">
        <v>968</v>
      </c>
      <c r="C890">
        <v>1.4999999999999999E-2</v>
      </c>
      <c r="D890" t="s">
        <v>6</v>
      </c>
      <c r="E890" t="s">
        <v>965</v>
      </c>
      <c r="F890" t="s">
        <v>963</v>
      </c>
      <c r="G890" t="s">
        <v>968</v>
      </c>
      <c r="H890">
        <v>7.7350000000000003</v>
      </c>
      <c r="K890">
        <v>105196704</v>
      </c>
      <c r="L890" s="2">
        <v>42951</v>
      </c>
      <c r="M890">
        <v>21</v>
      </c>
      <c r="N890">
        <v>1</v>
      </c>
      <c r="O890">
        <v>7</v>
      </c>
      <c r="P890">
        <v>1</v>
      </c>
      <c r="Q890" t="s">
        <v>3</v>
      </c>
    </row>
    <row r="891" spans="1:17">
      <c r="A891" t="s">
        <v>1021</v>
      </c>
      <c r="B891" t="s">
        <v>968</v>
      </c>
      <c r="C891">
        <v>0.01</v>
      </c>
      <c r="D891" t="s">
        <v>6</v>
      </c>
      <c r="E891" t="s">
        <v>965</v>
      </c>
      <c r="F891" t="s">
        <v>1023</v>
      </c>
      <c r="G891" t="s">
        <v>968</v>
      </c>
      <c r="H891">
        <v>7.74</v>
      </c>
      <c r="K891">
        <v>107559810</v>
      </c>
      <c r="L891" s="2">
        <v>45271</v>
      </c>
      <c r="M891">
        <v>28</v>
      </c>
      <c r="N891">
        <v>1</v>
      </c>
      <c r="O891">
        <v>0</v>
      </c>
      <c r="P891">
        <v>1</v>
      </c>
      <c r="Q891" t="s">
        <v>7</v>
      </c>
    </row>
    <row r="892" spans="1:17">
      <c r="A892" t="s">
        <v>1021</v>
      </c>
      <c r="B892" t="s">
        <v>968</v>
      </c>
      <c r="C892">
        <v>8.9999999999999993E-3</v>
      </c>
      <c r="D892" t="s">
        <v>6</v>
      </c>
      <c r="E892" t="s">
        <v>965</v>
      </c>
      <c r="F892" t="s">
        <v>963</v>
      </c>
      <c r="G892" t="s">
        <v>968</v>
      </c>
      <c r="H892">
        <v>7.7409999999999997</v>
      </c>
      <c r="K892">
        <v>106064224</v>
      </c>
      <c r="L892" s="2">
        <v>43767</v>
      </c>
      <c r="M892">
        <v>21</v>
      </c>
      <c r="N892">
        <v>1</v>
      </c>
      <c r="O892">
        <v>7</v>
      </c>
      <c r="P892">
        <v>1</v>
      </c>
      <c r="Q892" t="s">
        <v>3</v>
      </c>
    </row>
    <row r="893" spans="1:17">
      <c r="A893" t="s">
        <v>1021</v>
      </c>
      <c r="B893" t="s">
        <v>968</v>
      </c>
      <c r="C893">
        <v>8.9999999999999993E-3</v>
      </c>
      <c r="D893" t="s">
        <v>6</v>
      </c>
      <c r="E893" t="s">
        <v>965</v>
      </c>
      <c r="F893" t="s">
        <v>963</v>
      </c>
      <c r="G893" t="s">
        <v>968</v>
      </c>
      <c r="H893">
        <v>7.7409999999999997</v>
      </c>
      <c r="K893">
        <v>108073220</v>
      </c>
      <c r="L893" s="2">
        <v>45756</v>
      </c>
      <c r="M893">
        <v>30</v>
      </c>
      <c r="N893">
        <v>1</v>
      </c>
      <c r="O893">
        <v>0</v>
      </c>
      <c r="P893">
        <v>1</v>
      </c>
      <c r="Q893" t="s">
        <v>7</v>
      </c>
    </row>
    <row r="894" spans="1:17">
      <c r="A894" t="s">
        <v>1021</v>
      </c>
      <c r="B894" t="s">
        <v>968</v>
      </c>
      <c r="C894">
        <v>8.9999999999999993E-3</v>
      </c>
      <c r="D894" t="s">
        <v>6</v>
      </c>
      <c r="E894" t="s">
        <v>965</v>
      </c>
      <c r="F894" t="s">
        <v>1037</v>
      </c>
      <c r="G894" t="s">
        <v>968</v>
      </c>
      <c r="H894">
        <v>7.7409999999999997</v>
      </c>
      <c r="K894">
        <v>106909386</v>
      </c>
      <c r="L894" s="2">
        <v>44652</v>
      </c>
      <c r="M894">
        <v>28</v>
      </c>
      <c r="N894">
        <v>1</v>
      </c>
      <c r="O894">
        <v>0</v>
      </c>
      <c r="P894">
        <v>1</v>
      </c>
      <c r="Q894" t="s">
        <v>3</v>
      </c>
    </row>
    <row r="895" spans="1:17">
      <c r="A895" t="s">
        <v>1021</v>
      </c>
      <c r="B895" t="s">
        <v>968</v>
      </c>
      <c r="C895">
        <v>8.0000000000000002E-3</v>
      </c>
      <c r="D895" t="s">
        <v>6</v>
      </c>
      <c r="E895" t="s">
        <v>965</v>
      </c>
      <c r="F895" t="s">
        <v>963</v>
      </c>
      <c r="G895" t="s">
        <v>968</v>
      </c>
      <c r="H895">
        <v>7.742</v>
      </c>
      <c r="K895">
        <v>105558076</v>
      </c>
      <c r="L895" s="2">
        <v>43309</v>
      </c>
      <c r="M895">
        <v>30</v>
      </c>
      <c r="N895">
        <v>1</v>
      </c>
      <c r="O895">
        <v>7</v>
      </c>
      <c r="P895">
        <v>1</v>
      </c>
      <c r="Q895" t="s">
        <v>7</v>
      </c>
    </row>
    <row r="896" spans="1:17">
      <c r="A896" t="s">
        <v>1021</v>
      </c>
      <c r="B896" t="s">
        <v>968</v>
      </c>
      <c r="C896">
        <v>7.0000000000000001E-3</v>
      </c>
      <c r="D896" t="s">
        <v>6</v>
      </c>
      <c r="E896" t="s">
        <v>965</v>
      </c>
      <c r="F896" t="s">
        <v>963</v>
      </c>
      <c r="G896" t="s">
        <v>968</v>
      </c>
      <c r="H896">
        <v>7.7430000000000003</v>
      </c>
      <c r="K896">
        <v>106036367</v>
      </c>
      <c r="L896" s="2">
        <v>43747</v>
      </c>
      <c r="M896">
        <v>30</v>
      </c>
      <c r="N896">
        <v>1</v>
      </c>
      <c r="O896">
        <v>7</v>
      </c>
      <c r="P896">
        <v>1</v>
      </c>
      <c r="Q896" t="s">
        <v>7</v>
      </c>
    </row>
    <row r="897" spans="1:17">
      <c r="A897" t="s">
        <v>1021</v>
      </c>
      <c r="B897" t="s">
        <v>968</v>
      </c>
      <c r="C897">
        <v>6.0000000000000001E-3</v>
      </c>
      <c r="D897" t="s">
        <v>6</v>
      </c>
      <c r="E897" t="s">
        <v>962</v>
      </c>
      <c r="F897" t="s">
        <v>1024</v>
      </c>
      <c r="G897" t="s">
        <v>968</v>
      </c>
      <c r="H897">
        <v>7.7439999999999998</v>
      </c>
      <c r="K897">
        <v>106883933</v>
      </c>
      <c r="L897" s="2">
        <v>44621</v>
      </c>
      <c r="M897">
        <v>21</v>
      </c>
      <c r="N897">
        <v>1</v>
      </c>
      <c r="O897">
        <v>0</v>
      </c>
      <c r="P897">
        <v>1</v>
      </c>
      <c r="Q897" t="s">
        <v>7</v>
      </c>
    </row>
    <row r="898" spans="1:17">
      <c r="A898" t="s">
        <v>1021</v>
      </c>
      <c r="B898" t="s">
        <v>968</v>
      </c>
      <c r="C898">
        <v>5.0000000000000001E-3</v>
      </c>
      <c r="D898" t="s">
        <v>763</v>
      </c>
      <c r="E898" t="s">
        <v>965</v>
      </c>
      <c r="F898" t="s">
        <v>963</v>
      </c>
      <c r="G898" t="s">
        <v>968</v>
      </c>
      <c r="H898">
        <v>7.7450000000000001</v>
      </c>
      <c r="K898">
        <v>107464912</v>
      </c>
      <c r="L898" s="2">
        <v>45190</v>
      </c>
      <c r="M898">
        <v>21</v>
      </c>
      <c r="N898">
        <v>1</v>
      </c>
      <c r="O898">
        <v>7</v>
      </c>
      <c r="P898">
        <v>5</v>
      </c>
      <c r="Q898" t="s">
        <v>7</v>
      </c>
    </row>
    <row r="899" spans="1:17">
      <c r="A899" t="s">
        <v>1021</v>
      </c>
      <c r="B899" t="s">
        <v>968</v>
      </c>
      <c r="C899">
        <v>4.0000000000000001E-3</v>
      </c>
      <c r="D899" t="s">
        <v>762</v>
      </c>
      <c r="E899" t="s">
        <v>965</v>
      </c>
      <c r="F899" t="s">
        <v>963</v>
      </c>
      <c r="G899" t="s">
        <v>968</v>
      </c>
      <c r="H899">
        <v>7.7460000000000004</v>
      </c>
      <c r="K899">
        <v>107816885</v>
      </c>
      <c r="L899" s="2">
        <v>45518</v>
      </c>
      <c r="M899">
        <v>21</v>
      </c>
      <c r="N899">
        <v>1</v>
      </c>
      <c r="O899">
        <v>7</v>
      </c>
      <c r="P899">
        <v>1</v>
      </c>
      <c r="Q899" t="s">
        <v>7</v>
      </c>
    </row>
    <row r="900" spans="1:17">
      <c r="A900" t="s">
        <v>1021</v>
      </c>
      <c r="B900" t="s">
        <v>968</v>
      </c>
      <c r="C900">
        <v>4.0000000000000001E-3</v>
      </c>
      <c r="D900" t="s">
        <v>6</v>
      </c>
      <c r="E900" t="s">
        <v>965</v>
      </c>
      <c r="F900" t="s">
        <v>1037</v>
      </c>
      <c r="G900" t="s">
        <v>968</v>
      </c>
      <c r="H900">
        <v>7.7460000000000004</v>
      </c>
      <c r="K900">
        <v>108061436</v>
      </c>
      <c r="L900" s="2">
        <v>45744</v>
      </c>
      <c r="M900">
        <v>28</v>
      </c>
      <c r="N900">
        <v>1</v>
      </c>
      <c r="O900">
        <v>7</v>
      </c>
      <c r="P900">
        <v>1</v>
      </c>
      <c r="Q900" t="s">
        <v>7</v>
      </c>
    </row>
    <row r="901" spans="1:17">
      <c r="A901" t="s">
        <v>754</v>
      </c>
      <c r="B901" t="s">
        <v>968</v>
      </c>
      <c r="C901">
        <v>3.0000000000000001E-3</v>
      </c>
      <c r="D901" t="s">
        <v>6</v>
      </c>
      <c r="E901" t="s">
        <v>962</v>
      </c>
      <c r="F901" t="s">
        <v>1024</v>
      </c>
      <c r="G901" t="s">
        <v>968</v>
      </c>
      <c r="H901">
        <v>7.7469999999999999</v>
      </c>
      <c r="K901">
        <v>106235643</v>
      </c>
      <c r="L901" s="2">
        <v>43971</v>
      </c>
      <c r="M901">
        <v>21</v>
      </c>
      <c r="N901">
        <v>2</v>
      </c>
      <c r="O901">
        <v>12</v>
      </c>
      <c r="P901">
        <v>1</v>
      </c>
      <c r="Q901" t="s">
        <v>7</v>
      </c>
    </row>
    <row r="902" spans="1:17">
      <c r="A902" t="s">
        <v>754</v>
      </c>
      <c r="B902" t="s">
        <v>968</v>
      </c>
      <c r="C902">
        <v>2E-3</v>
      </c>
      <c r="D902" t="s">
        <v>6</v>
      </c>
      <c r="E902" t="s">
        <v>962</v>
      </c>
      <c r="F902" t="s">
        <v>1024</v>
      </c>
      <c r="G902" t="s">
        <v>968</v>
      </c>
      <c r="H902">
        <v>7.7480000000000002</v>
      </c>
      <c r="K902">
        <v>106490019</v>
      </c>
      <c r="L902" s="2">
        <v>44236</v>
      </c>
      <c r="M902">
        <v>21</v>
      </c>
      <c r="N902">
        <v>1</v>
      </c>
      <c r="O902">
        <v>12</v>
      </c>
      <c r="P902">
        <v>1</v>
      </c>
      <c r="Q902" t="s">
        <v>3</v>
      </c>
    </row>
    <row r="903" spans="1:17">
      <c r="A903" t="s">
        <v>754</v>
      </c>
      <c r="B903" t="s">
        <v>968</v>
      </c>
      <c r="C903">
        <v>2E-3</v>
      </c>
      <c r="D903" t="s">
        <v>6</v>
      </c>
      <c r="E903" t="s">
        <v>962</v>
      </c>
      <c r="F903" t="s">
        <v>1024</v>
      </c>
      <c r="G903" t="s">
        <v>968</v>
      </c>
      <c r="H903">
        <v>7.7480000000000002</v>
      </c>
      <c r="K903">
        <v>106874645</v>
      </c>
      <c r="L903" s="2">
        <v>44619</v>
      </c>
      <c r="M903">
        <v>21</v>
      </c>
      <c r="N903">
        <v>2</v>
      </c>
      <c r="O903">
        <v>12</v>
      </c>
      <c r="P903">
        <v>1</v>
      </c>
      <c r="Q903" t="s">
        <v>7</v>
      </c>
    </row>
    <row r="904" spans="1:17">
      <c r="A904" t="s">
        <v>1021</v>
      </c>
      <c r="B904" t="s">
        <v>1081</v>
      </c>
      <c r="C904">
        <v>0</v>
      </c>
      <c r="D904" t="s">
        <v>758</v>
      </c>
      <c r="E904" t="s">
        <v>965</v>
      </c>
      <c r="F904" t="s">
        <v>966</v>
      </c>
      <c r="G904" t="s">
        <v>968</v>
      </c>
      <c r="H904">
        <v>7.75</v>
      </c>
      <c r="K904">
        <v>105353829</v>
      </c>
      <c r="L904" s="2">
        <v>43099</v>
      </c>
      <c r="M904">
        <v>31</v>
      </c>
      <c r="N904">
        <v>1</v>
      </c>
      <c r="O904">
        <v>0</v>
      </c>
      <c r="P904">
        <v>1</v>
      </c>
      <c r="Q904" t="s">
        <v>7</v>
      </c>
    </row>
    <row r="905" spans="1:17">
      <c r="A905" t="s">
        <v>1021</v>
      </c>
      <c r="B905" t="s">
        <v>968</v>
      </c>
      <c r="C905">
        <v>0</v>
      </c>
      <c r="E905" t="s">
        <v>965</v>
      </c>
      <c r="F905" t="s">
        <v>1076</v>
      </c>
      <c r="G905" t="s">
        <v>968</v>
      </c>
      <c r="H905">
        <v>7.75</v>
      </c>
      <c r="K905">
        <v>105186092</v>
      </c>
      <c r="L905" s="2">
        <v>42936</v>
      </c>
      <c r="M905">
        <v>21</v>
      </c>
      <c r="N905">
        <v>2</v>
      </c>
      <c r="O905">
        <v>7</v>
      </c>
      <c r="P905">
        <v>5</v>
      </c>
      <c r="Q905" t="s">
        <v>7</v>
      </c>
    </row>
    <row r="906" spans="1:17">
      <c r="A906" t="s">
        <v>1021</v>
      </c>
      <c r="B906" t="s">
        <v>968</v>
      </c>
      <c r="C906">
        <v>0</v>
      </c>
      <c r="E906" t="s">
        <v>965</v>
      </c>
      <c r="F906" t="s">
        <v>1192</v>
      </c>
      <c r="G906" t="s">
        <v>968</v>
      </c>
      <c r="H906">
        <v>7.75</v>
      </c>
      <c r="K906">
        <v>108268613</v>
      </c>
      <c r="L906" s="2">
        <v>45947</v>
      </c>
      <c r="M906">
        <v>21</v>
      </c>
      <c r="N906">
        <v>1</v>
      </c>
      <c r="O906">
        <v>11</v>
      </c>
      <c r="P906">
        <v>1</v>
      </c>
      <c r="Q906" t="s">
        <v>7</v>
      </c>
    </row>
    <row r="907" spans="1:17">
      <c r="A907" t="s">
        <v>1021</v>
      </c>
      <c r="B907" t="s">
        <v>968</v>
      </c>
      <c r="C907">
        <v>0</v>
      </c>
      <c r="E907" t="s">
        <v>965</v>
      </c>
      <c r="F907" t="s">
        <v>986</v>
      </c>
      <c r="G907" t="s">
        <v>968</v>
      </c>
      <c r="H907">
        <v>7.75</v>
      </c>
      <c r="K907">
        <v>108209250</v>
      </c>
      <c r="L907" s="2">
        <v>45890</v>
      </c>
      <c r="M907">
        <v>21</v>
      </c>
      <c r="N907">
        <v>1</v>
      </c>
      <c r="O907">
        <v>7</v>
      </c>
      <c r="P907">
        <v>1</v>
      </c>
      <c r="Q907" t="s">
        <v>7</v>
      </c>
    </row>
    <row r="908" spans="1:17">
      <c r="A908" t="s">
        <v>1021</v>
      </c>
      <c r="B908" t="s">
        <v>968</v>
      </c>
      <c r="C908">
        <v>0</v>
      </c>
      <c r="E908" t="s">
        <v>965</v>
      </c>
      <c r="F908" t="s">
        <v>986</v>
      </c>
      <c r="G908" t="s">
        <v>968</v>
      </c>
      <c r="H908">
        <v>7.75</v>
      </c>
      <c r="K908">
        <v>108288216</v>
      </c>
      <c r="L908" s="2">
        <v>45963</v>
      </c>
      <c r="M908">
        <v>28</v>
      </c>
      <c r="N908">
        <v>1</v>
      </c>
      <c r="O908">
        <v>7</v>
      </c>
      <c r="P908">
        <v>1</v>
      </c>
      <c r="Q908" t="s">
        <v>7</v>
      </c>
    </row>
    <row r="909" spans="1:17">
      <c r="A909" t="s">
        <v>1021</v>
      </c>
      <c r="B909" t="s">
        <v>968</v>
      </c>
      <c r="C909">
        <v>0</v>
      </c>
      <c r="E909" t="s">
        <v>965</v>
      </c>
      <c r="F909" t="s">
        <v>1178</v>
      </c>
      <c r="G909" t="s">
        <v>968</v>
      </c>
      <c r="H909">
        <v>7.75</v>
      </c>
      <c r="K909">
        <v>107922335</v>
      </c>
      <c r="L909" s="2">
        <v>45610</v>
      </c>
      <c r="M909">
        <v>17</v>
      </c>
      <c r="N909">
        <v>1</v>
      </c>
      <c r="O909">
        <v>0</v>
      </c>
      <c r="P909">
        <v>6</v>
      </c>
      <c r="Q909" t="s">
        <v>7</v>
      </c>
    </row>
    <row r="910" spans="1:17">
      <c r="A910" t="s">
        <v>1021</v>
      </c>
      <c r="B910" t="s">
        <v>968</v>
      </c>
      <c r="C910">
        <v>0</v>
      </c>
      <c r="E910" t="s">
        <v>965</v>
      </c>
      <c r="F910" t="s">
        <v>1129</v>
      </c>
      <c r="G910" t="s">
        <v>968</v>
      </c>
      <c r="H910">
        <v>7.75</v>
      </c>
      <c r="K910">
        <v>106556302</v>
      </c>
      <c r="L910" s="2">
        <v>44258</v>
      </c>
      <c r="M910">
        <v>30</v>
      </c>
      <c r="N910">
        <v>1</v>
      </c>
      <c r="P910">
        <v>1</v>
      </c>
      <c r="Q910" t="s">
        <v>7</v>
      </c>
    </row>
    <row r="911" spans="1:17">
      <c r="A911" t="s">
        <v>1021</v>
      </c>
      <c r="B911" t="s">
        <v>968</v>
      </c>
      <c r="C911">
        <v>0</v>
      </c>
      <c r="E911" t="s">
        <v>965</v>
      </c>
      <c r="F911" t="s">
        <v>1072</v>
      </c>
      <c r="G911" t="s">
        <v>968</v>
      </c>
      <c r="H911">
        <v>7.75</v>
      </c>
      <c r="K911">
        <v>105026731</v>
      </c>
      <c r="L911" s="2">
        <v>42790</v>
      </c>
      <c r="M911">
        <v>21</v>
      </c>
      <c r="N911">
        <v>1</v>
      </c>
      <c r="O911">
        <v>7</v>
      </c>
      <c r="P911">
        <v>1</v>
      </c>
      <c r="Q911" t="s">
        <v>3</v>
      </c>
    </row>
    <row r="912" spans="1:17">
      <c r="A912" t="s">
        <v>1021</v>
      </c>
      <c r="B912" t="s">
        <v>968</v>
      </c>
      <c r="C912">
        <v>0</v>
      </c>
      <c r="E912" t="s">
        <v>965</v>
      </c>
      <c r="F912" t="s">
        <v>1072</v>
      </c>
      <c r="G912" t="s">
        <v>968</v>
      </c>
      <c r="H912">
        <v>7.75</v>
      </c>
      <c r="K912">
        <v>105257889</v>
      </c>
      <c r="L912" s="2">
        <v>43010</v>
      </c>
      <c r="M912">
        <v>21</v>
      </c>
      <c r="N912">
        <v>1</v>
      </c>
      <c r="O912">
        <v>7</v>
      </c>
      <c r="P912">
        <v>1</v>
      </c>
      <c r="Q912" t="s">
        <v>7</v>
      </c>
    </row>
    <row r="913" spans="1:17">
      <c r="A913" t="s">
        <v>1021</v>
      </c>
      <c r="B913" t="s">
        <v>968</v>
      </c>
      <c r="C913">
        <v>0</v>
      </c>
      <c r="E913" t="s">
        <v>965</v>
      </c>
      <c r="F913" t="s">
        <v>1072</v>
      </c>
      <c r="G913" t="s">
        <v>968</v>
      </c>
      <c r="H913">
        <v>7.75</v>
      </c>
      <c r="K913">
        <v>104982045</v>
      </c>
      <c r="L913" s="2">
        <v>42723</v>
      </c>
      <c r="M913">
        <v>21</v>
      </c>
      <c r="N913">
        <v>1</v>
      </c>
      <c r="O913">
        <v>7</v>
      </c>
      <c r="P913">
        <v>4</v>
      </c>
      <c r="Q913" t="s">
        <v>7</v>
      </c>
    </row>
    <row r="914" spans="1:17">
      <c r="A914" t="s">
        <v>1021</v>
      </c>
      <c r="B914" t="s">
        <v>968</v>
      </c>
      <c r="C914">
        <v>0</v>
      </c>
      <c r="E914" t="s">
        <v>965</v>
      </c>
      <c r="F914" t="s">
        <v>1072</v>
      </c>
      <c r="G914" t="s">
        <v>968</v>
      </c>
      <c r="H914">
        <v>7.75</v>
      </c>
      <c r="K914">
        <v>105941856</v>
      </c>
      <c r="L914" s="2">
        <v>43658</v>
      </c>
      <c r="M914">
        <v>21</v>
      </c>
      <c r="N914">
        <v>1</v>
      </c>
      <c r="O914">
        <v>7</v>
      </c>
      <c r="P914">
        <v>3</v>
      </c>
      <c r="Q914" t="s">
        <v>7</v>
      </c>
    </row>
    <row r="915" spans="1:17">
      <c r="A915" t="s">
        <v>1021</v>
      </c>
      <c r="B915" t="s">
        <v>968</v>
      </c>
      <c r="C915">
        <v>0</v>
      </c>
      <c r="E915" t="s">
        <v>965</v>
      </c>
      <c r="F915" t="s">
        <v>1072</v>
      </c>
      <c r="G915" t="s">
        <v>968</v>
      </c>
      <c r="H915">
        <v>7.75</v>
      </c>
      <c r="K915">
        <v>106906416</v>
      </c>
      <c r="L915" s="2">
        <v>44650</v>
      </c>
      <c r="M915">
        <v>21</v>
      </c>
      <c r="N915">
        <v>1</v>
      </c>
      <c r="O915">
        <v>7</v>
      </c>
      <c r="P915">
        <v>1</v>
      </c>
      <c r="Q915" t="s">
        <v>7</v>
      </c>
    </row>
    <row r="916" spans="1:17">
      <c r="A916" t="s">
        <v>1021</v>
      </c>
      <c r="B916" t="s">
        <v>968</v>
      </c>
      <c r="C916">
        <v>0</v>
      </c>
      <c r="E916" t="s">
        <v>965</v>
      </c>
      <c r="F916" t="s">
        <v>1072</v>
      </c>
      <c r="G916" t="s">
        <v>968</v>
      </c>
      <c r="H916">
        <v>7.75</v>
      </c>
      <c r="K916">
        <v>107479287</v>
      </c>
      <c r="L916" s="2">
        <v>45206</v>
      </c>
      <c r="M916">
        <v>21</v>
      </c>
      <c r="N916">
        <v>2</v>
      </c>
      <c r="O916">
        <v>7</v>
      </c>
      <c r="P916">
        <v>1</v>
      </c>
      <c r="Q916" t="s">
        <v>7</v>
      </c>
    </row>
    <row r="917" spans="1:17">
      <c r="A917" t="s">
        <v>1021</v>
      </c>
      <c r="B917" t="s">
        <v>968</v>
      </c>
      <c r="C917">
        <v>0</v>
      </c>
      <c r="D917" t="s">
        <v>765</v>
      </c>
      <c r="E917" t="s">
        <v>965</v>
      </c>
      <c r="F917" t="s">
        <v>1072</v>
      </c>
      <c r="G917" t="s">
        <v>968</v>
      </c>
      <c r="H917">
        <v>7.75</v>
      </c>
      <c r="K917">
        <v>107724706</v>
      </c>
      <c r="L917" s="2">
        <v>45428</v>
      </c>
      <c r="M917">
        <v>21</v>
      </c>
      <c r="N917">
        <v>1</v>
      </c>
      <c r="O917">
        <v>0</v>
      </c>
      <c r="P917">
        <v>2</v>
      </c>
      <c r="Q917" t="s">
        <v>7</v>
      </c>
    </row>
    <row r="918" spans="1:17">
      <c r="A918" t="s">
        <v>1021</v>
      </c>
      <c r="B918" t="s">
        <v>968</v>
      </c>
      <c r="C918">
        <v>0</v>
      </c>
      <c r="E918" t="s">
        <v>965</v>
      </c>
      <c r="F918" t="s">
        <v>1072</v>
      </c>
      <c r="G918" t="s">
        <v>968</v>
      </c>
      <c r="H918">
        <v>7.75</v>
      </c>
      <c r="K918">
        <v>107965406</v>
      </c>
      <c r="L918" s="2">
        <v>45646</v>
      </c>
      <c r="M918">
        <v>23</v>
      </c>
      <c r="N918">
        <v>2</v>
      </c>
      <c r="O918">
        <v>7</v>
      </c>
      <c r="P918">
        <v>5</v>
      </c>
      <c r="Q918" t="s">
        <v>7</v>
      </c>
    </row>
    <row r="919" spans="1:17">
      <c r="A919" t="s">
        <v>1021</v>
      </c>
      <c r="B919" t="s">
        <v>968</v>
      </c>
      <c r="C919">
        <v>0</v>
      </c>
      <c r="E919" t="s">
        <v>965</v>
      </c>
      <c r="F919" t="s">
        <v>1072</v>
      </c>
      <c r="G919" t="s">
        <v>968</v>
      </c>
      <c r="H919">
        <v>7.75</v>
      </c>
      <c r="K919">
        <v>106363253</v>
      </c>
      <c r="L919" s="2">
        <v>44075</v>
      </c>
      <c r="M919">
        <v>30</v>
      </c>
      <c r="N919">
        <v>1</v>
      </c>
      <c r="O919">
        <v>7</v>
      </c>
      <c r="P919">
        <v>4</v>
      </c>
      <c r="Q919" t="s">
        <v>3</v>
      </c>
    </row>
    <row r="920" spans="1:17">
      <c r="A920" t="s">
        <v>1021</v>
      </c>
      <c r="B920" t="s">
        <v>968</v>
      </c>
      <c r="C920">
        <v>0</v>
      </c>
      <c r="E920" t="s">
        <v>965</v>
      </c>
      <c r="F920" t="s">
        <v>963</v>
      </c>
      <c r="G920" t="s">
        <v>968</v>
      </c>
      <c r="H920">
        <v>7.75</v>
      </c>
      <c r="K920">
        <v>106993946</v>
      </c>
      <c r="L920" s="2">
        <v>44733</v>
      </c>
      <c r="M920">
        <v>21</v>
      </c>
      <c r="N920">
        <v>1</v>
      </c>
      <c r="O920">
        <v>7</v>
      </c>
      <c r="P920">
        <v>2</v>
      </c>
      <c r="Q920" t="s">
        <v>8</v>
      </c>
    </row>
    <row r="921" spans="1:17">
      <c r="A921" t="s">
        <v>1021</v>
      </c>
      <c r="B921" t="s">
        <v>968</v>
      </c>
      <c r="C921">
        <v>0</v>
      </c>
      <c r="E921" t="s">
        <v>965</v>
      </c>
      <c r="F921" t="s">
        <v>963</v>
      </c>
      <c r="G921" t="s">
        <v>968</v>
      </c>
      <c r="H921">
        <v>7.75</v>
      </c>
      <c r="K921">
        <v>106968039</v>
      </c>
      <c r="L921" s="2">
        <v>44705</v>
      </c>
      <c r="M921">
        <v>21</v>
      </c>
      <c r="N921">
        <v>1</v>
      </c>
      <c r="O921">
        <v>7</v>
      </c>
      <c r="P921">
        <v>1</v>
      </c>
      <c r="Q921" t="s">
        <v>7</v>
      </c>
    </row>
    <row r="922" spans="1:17">
      <c r="A922" t="s">
        <v>1021</v>
      </c>
      <c r="B922" t="s">
        <v>968</v>
      </c>
      <c r="C922">
        <v>0</v>
      </c>
      <c r="E922" t="s">
        <v>965</v>
      </c>
      <c r="F922" t="s">
        <v>963</v>
      </c>
      <c r="G922" t="s">
        <v>968</v>
      </c>
      <c r="H922">
        <v>7.75</v>
      </c>
      <c r="K922">
        <v>107173202</v>
      </c>
      <c r="L922" s="2">
        <v>44749</v>
      </c>
      <c r="M922">
        <v>21</v>
      </c>
      <c r="N922">
        <v>1</v>
      </c>
      <c r="O922">
        <v>7</v>
      </c>
      <c r="P922">
        <v>1</v>
      </c>
      <c r="Q922" t="s">
        <v>7</v>
      </c>
    </row>
    <row r="923" spans="1:17">
      <c r="A923" t="s">
        <v>1021</v>
      </c>
      <c r="B923" t="s">
        <v>968</v>
      </c>
      <c r="C923">
        <v>0</v>
      </c>
      <c r="D923" t="s">
        <v>756</v>
      </c>
      <c r="E923" t="s">
        <v>965</v>
      </c>
      <c r="F923" t="s">
        <v>963</v>
      </c>
      <c r="G923" t="s">
        <v>968</v>
      </c>
      <c r="H923">
        <v>7.75</v>
      </c>
      <c r="K923">
        <v>108436291</v>
      </c>
      <c r="L923" s="2">
        <v>46100</v>
      </c>
      <c r="M923">
        <v>21</v>
      </c>
      <c r="N923">
        <v>1</v>
      </c>
      <c r="O923">
        <v>7</v>
      </c>
      <c r="P923">
        <v>1</v>
      </c>
      <c r="Q923" t="s">
        <v>7</v>
      </c>
    </row>
    <row r="924" spans="1:17">
      <c r="A924" t="s">
        <v>1021</v>
      </c>
      <c r="B924" t="s">
        <v>968</v>
      </c>
      <c r="C924">
        <v>0</v>
      </c>
      <c r="D924" t="s">
        <v>765</v>
      </c>
      <c r="E924" t="s">
        <v>965</v>
      </c>
      <c r="F924" t="s">
        <v>963</v>
      </c>
      <c r="G924" t="s">
        <v>968</v>
      </c>
      <c r="H924">
        <v>7.75</v>
      </c>
      <c r="K924">
        <v>108498878</v>
      </c>
      <c r="L924" s="2">
        <v>46158</v>
      </c>
      <c r="M924">
        <v>21</v>
      </c>
      <c r="N924">
        <v>1</v>
      </c>
      <c r="O924">
        <v>7</v>
      </c>
      <c r="P924">
        <v>4</v>
      </c>
      <c r="Q924" t="s">
        <v>7</v>
      </c>
    </row>
    <row r="925" spans="1:17">
      <c r="A925" t="s">
        <v>1021</v>
      </c>
      <c r="B925" t="s">
        <v>968</v>
      </c>
      <c r="C925">
        <v>0</v>
      </c>
      <c r="E925" t="s">
        <v>965</v>
      </c>
      <c r="F925" t="s">
        <v>963</v>
      </c>
      <c r="G925" t="s">
        <v>968</v>
      </c>
      <c r="H925">
        <v>7.75</v>
      </c>
      <c r="K925">
        <v>108422786</v>
      </c>
      <c r="L925" s="2">
        <v>46087</v>
      </c>
      <c r="M925">
        <v>24</v>
      </c>
      <c r="N925">
        <v>1</v>
      </c>
      <c r="O925">
        <v>7</v>
      </c>
      <c r="P925">
        <v>1</v>
      </c>
      <c r="Q925" t="s">
        <v>3</v>
      </c>
    </row>
    <row r="926" spans="1:17">
      <c r="A926" t="s">
        <v>1021</v>
      </c>
      <c r="B926" t="s">
        <v>968</v>
      </c>
      <c r="C926">
        <v>0</v>
      </c>
      <c r="D926" t="s">
        <v>6</v>
      </c>
      <c r="E926" t="s">
        <v>965</v>
      </c>
      <c r="F926" t="s">
        <v>963</v>
      </c>
      <c r="G926" t="s">
        <v>968</v>
      </c>
      <c r="H926">
        <v>7.75</v>
      </c>
      <c r="K926">
        <v>106802303</v>
      </c>
      <c r="L926" s="2">
        <v>44489</v>
      </c>
      <c r="M926">
        <v>28</v>
      </c>
      <c r="N926">
        <v>1</v>
      </c>
      <c r="O926">
        <v>7</v>
      </c>
      <c r="P926">
        <v>5</v>
      </c>
      <c r="Q926" t="s">
        <v>8</v>
      </c>
    </row>
    <row r="927" spans="1:17">
      <c r="A927" t="s">
        <v>1021</v>
      </c>
      <c r="B927" t="s">
        <v>968</v>
      </c>
      <c r="C927">
        <v>0</v>
      </c>
      <c r="E927" t="s">
        <v>965</v>
      </c>
      <c r="F927" t="s">
        <v>963</v>
      </c>
      <c r="G927" t="s">
        <v>968</v>
      </c>
      <c r="H927">
        <v>7.75</v>
      </c>
      <c r="K927">
        <v>107993614</v>
      </c>
      <c r="L927" s="2">
        <v>45674</v>
      </c>
      <c r="M927">
        <v>28</v>
      </c>
      <c r="N927">
        <v>1</v>
      </c>
      <c r="O927">
        <v>7</v>
      </c>
      <c r="P927">
        <v>1</v>
      </c>
      <c r="Q927" t="s">
        <v>7</v>
      </c>
    </row>
    <row r="928" spans="1:17">
      <c r="A928" t="s">
        <v>1021</v>
      </c>
      <c r="B928" t="s">
        <v>968</v>
      </c>
      <c r="C928">
        <v>0</v>
      </c>
      <c r="E928" t="s">
        <v>965</v>
      </c>
      <c r="F928" t="s">
        <v>963</v>
      </c>
      <c r="G928" t="s">
        <v>968</v>
      </c>
      <c r="H928">
        <v>7.75</v>
      </c>
      <c r="K928">
        <v>108346595</v>
      </c>
      <c r="L928" s="2">
        <v>46011</v>
      </c>
      <c r="M928">
        <v>28</v>
      </c>
      <c r="N928">
        <v>1</v>
      </c>
      <c r="O928">
        <v>0</v>
      </c>
      <c r="P928">
        <v>1</v>
      </c>
      <c r="Q928" t="s">
        <v>7</v>
      </c>
    </row>
    <row r="929" spans="1:17">
      <c r="A929" t="s">
        <v>1021</v>
      </c>
      <c r="B929" t="s">
        <v>968</v>
      </c>
      <c r="C929">
        <v>0</v>
      </c>
      <c r="E929" t="s">
        <v>965</v>
      </c>
      <c r="F929" t="s">
        <v>963</v>
      </c>
      <c r="G929" t="s">
        <v>968</v>
      </c>
      <c r="H929">
        <v>7.75</v>
      </c>
      <c r="K929">
        <v>105741360</v>
      </c>
      <c r="L929" s="2">
        <v>43456</v>
      </c>
      <c r="M929">
        <v>30</v>
      </c>
      <c r="N929">
        <v>1</v>
      </c>
      <c r="O929">
        <v>7</v>
      </c>
      <c r="P929">
        <v>1</v>
      </c>
      <c r="Q929" t="s">
        <v>3</v>
      </c>
    </row>
    <row r="930" spans="1:17">
      <c r="A930" t="s">
        <v>1021</v>
      </c>
      <c r="B930" t="s">
        <v>968</v>
      </c>
      <c r="C930">
        <v>0</v>
      </c>
      <c r="E930" t="s">
        <v>965</v>
      </c>
      <c r="F930" t="s">
        <v>963</v>
      </c>
      <c r="G930" t="s">
        <v>968</v>
      </c>
      <c r="H930">
        <v>7.75</v>
      </c>
      <c r="K930">
        <v>106931954</v>
      </c>
      <c r="L930" s="2">
        <v>44676</v>
      </c>
      <c r="M930">
        <v>30</v>
      </c>
      <c r="N930">
        <v>1</v>
      </c>
      <c r="O930">
        <v>7</v>
      </c>
      <c r="P930">
        <v>1</v>
      </c>
      <c r="Q930" t="s">
        <v>7</v>
      </c>
    </row>
    <row r="931" spans="1:17">
      <c r="A931" t="s">
        <v>1021</v>
      </c>
      <c r="B931" t="s">
        <v>968</v>
      </c>
      <c r="C931">
        <v>0</v>
      </c>
      <c r="E931" t="s">
        <v>965</v>
      </c>
      <c r="F931" t="s">
        <v>963</v>
      </c>
      <c r="G931" t="s">
        <v>968</v>
      </c>
      <c r="H931">
        <v>7.75</v>
      </c>
      <c r="K931">
        <v>108001600</v>
      </c>
      <c r="L931" s="2">
        <v>45681</v>
      </c>
      <c r="M931">
        <v>31</v>
      </c>
      <c r="N931">
        <v>1</v>
      </c>
      <c r="O931">
        <v>7</v>
      </c>
      <c r="P931">
        <v>4</v>
      </c>
      <c r="Q931" t="s">
        <v>7</v>
      </c>
    </row>
    <row r="932" spans="1:17">
      <c r="A932" t="s">
        <v>1021</v>
      </c>
      <c r="B932" t="s">
        <v>968</v>
      </c>
      <c r="C932">
        <v>0</v>
      </c>
      <c r="E932" t="s">
        <v>965</v>
      </c>
      <c r="F932" t="s">
        <v>1023</v>
      </c>
      <c r="G932" t="s">
        <v>968</v>
      </c>
      <c r="H932">
        <v>7.75</v>
      </c>
      <c r="K932">
        <v>107260324</v>
      </c>
      <c r="L932" s="2">
        <v>44988</v>
      </c>
      <c r="M932">
        <v>28</v>
      </c>
      <c r="N932">
        <v>1</v>
      </c>
      <c r="O932">
        <v>7</v>
      </c>
      <c r="P932">
        <v>1</v>
      </c>
      <c r="Q932" t="s">
        <v>7</v>
      </c>
    </row>
    <row r="933" spans="1:17">
      <c r="A933" t="s">
        <v>1021</v>
      </c>
      <c r="B933" t="s">
        <v>968</v>
      </c>
      <c r="C933">
        <v>0</v>
      </c>
      <c r="E933" t="s">
        <v>965</v>
      </c>
      <c r="F933" t="s">
        <v>967</v>
      </c>
      <c r="G933" t="s">
        <v>968</v>
      </c>
      <c r="H933">
        <v>7.75</v>
      </c>
      <c r="K933">
        <v>105075625</v>
      </c>
      <c r="L933" s="2">
        <v>42825</v>
      </c>
      <c r="M933">
        <v>30</v>
      </c>
      <c r="N933">
        <v>1</v>
      </c>
      <c r="O933">
        <v>7</v>
      </c>
      <c r="P933">
        <v>4</v>
      </c>
      <c r="Q933" t="s">
        <v>3</v>
      </c>
    </row>
    <row r="934" spans="1:17">
      <c r="A934" t="s">
        <v>1021</v>
      </c>
      <c r="B934" t="s">
        <v>968</v>
      </c>
      <c r="C934">
        <v>0</v>
      </c>
      <c r="E934" t="s">
        <v>965</v>
      </c>
      <c r="F934" t="s">
        <v>1050</v>
      </c>
      <c r="G934" t="s">
        <v>968</v>
      </c>
      <c r="H934">
        <v>7.75</v>
      </c>
      <c r="K934">
        <v>106802152</v>
      </c>
      <c r="L934" s="2">
        <v>44399</v>
      </c>
      <c r="M934">
        <v>21</v>
      </c>
      <c r="N934">
        <v>1</v>
      </c>
      <c r="O934">
        <v>7</v>
      </c>
      <c r="P934">
        <v>1</v>
      </c>
      <c r="Q934" t="s">
        <v>7</v>
      </c>
    </row>
    <row r="935" spans="1:17">
      <c r="A935" t="s">
        <v>1021</v>
      </c>
      <c r="B935" t="s">
        <v>968</v>
      </c>
      <c r="C935">
        <v>0</v>
      </c>
      <c r="E935" t="s">
        <v>965</v>
      </c>
      <c r="F935" t="s">
        <v>965</v>
      </c>
      <c r="G935" t="s">
        <v>968</v>
      </c>
      <c r="H935">
        <v>7.75</v>
      </c>
      <c r="K935">
        <v>108586883</v>
      </c>
      <c r="L935" s="2">
        <v>46244</v>
      </c>
      <c r="M935">
        <v>21</v>
      </c>
      <c r="N935">
        <v>1</v>
      </c>
      <c r="O935">
        <v>7</v>
      </c>
      <c r="P935">
        <v>1</v>
      </c>
      <c r="Q935" t="s">
        <v>7</v>
      </c>
    </row>
    <row r="936" spans="1:17">
      <c r="A936" t="s">
        <v>1021</v>
      </c>
      <c r="B936" t="s">
        <v>968</v>
      </c>
      <c r="C936">
        <v>0</v>
      </c>
      <c r="E936" t="s">
        <v>965</v>
      </c>
      <c r="F936" t="s">
        <v>969</v>
      </c>
      <c r="G936" t="s">
        <v>968</v>
      </c>
      <c r="H936">
        <v>7.75</v>
      </c>
      <c r="K936">
        <v>106080404</v>
      </c>
      <c r="L936" s="2">
        <v>43799</v>
      </c>
      <c r="M936">
        <v>28</v>
      </c>
      <c r="N936">
        <v>1</v>
      </c>
      <c r="O936">
        <v>0</v>
      </c>
      <c r="P936">
        <v>1</v>
      </c>
      <c r="Q936" t="s">
        <v>7</v>
      </c>
    </row>
    <row r="937" spans="1:17">
      <c r="A937" t="s">
        <v>1021</v>
      </c>
      <c r="B937" t="s">
        <v>968</v>
      </c>
      <c r="C937">
        <v>0</v>
      </c>
      <c r="E937" t="s">
        <v>965</v>
      </c>
      <c r="F937" t="s">
        <v>1037</v>
      </c>
      <c r="G937" t="s">
        <v>968</v>
      </c>
      <c r="H937">
        <v>7.75</v>
      </c>
      <c r="K937">
        <v>105864326</v>
      </c>
      <c r="L937" s="2">
        <v>43580</v>
      </c>
      <c r="M937">
        <v>21</v>
      </c>
      <c r="N937">
        <v>1</v>
      </c>
      <c r="O937">
        <v>7</v>
      </c>
      <c r="P937">
        <v>1</v>
      </c>
      <c r="Q937" t="s">
        <v>3</v>
      </c>
    </row>
    <row r="938" spans="1:17">
      <c r="A938" t="s">
        <v>1021</v>
      </c>
      <c r="B938" t="s">
        <v>968</v>
      </c>
      <c r="C938">
        <v>0</v>
      </c>
      <c r="E938" t="s">
        <v>965</v>
      </c>
      <c r="F938" t="s">
        <v>1037</v>
      </c>
      <c r="G938" t="s">
        <v>968</v>
      </c>
      <c r="H938">
        <v>7.75</v>
      </c>
      <c r="K938">
        <v>106502178</v>
      </c>
      <c r="L938" s="2">
        <v>44209</v>
      </c>
      <c r="M938">
        <v>21</v>
      </c>
      <c r="N938">
        <v>1</v>
      </c>
      <c r="O938">
        <v>7</v>
      </c>
      <c r="P938">
        <v>1</v>
      </c>
      <c r="Q938" t="s">
        <v>7</v>
      </c>
    </row>
    <row r="939" spans="1:17">
      <c r="A939" t="s">
        <v>1021</v>
      </c>
      <c r="B939" t="s">
        <v>968</v>
      </c>
      <c r="C939">
        <v>0</v>
      </c>
      <c r="E939" t="s">
        <v>965</v>
      </c>
      <c r="F939" t="s">
        <v>1037</v>
      </c>
      <c r="G939" t="s">
        <v>968</v>
      </c>
      <c r="H939">
        <v>7.75</v>
      </c>
      <c r="K939">
        <v>107011467</v>
      </c>
      <c r="L939" s="2">
        <v>44752</v>
      </c>
      <c r="M939">
        <v>21</v>
      </c>
      <c r="N939">
        <v>2</v>
      </c>
      <c r="O939">
        <v>7</v>
      </c>
      <c r="P939">
        <v>1</v>
      </c>
      <c r="Q939" t="s">
        <v>7</v>
      </c>
    </row>
    <row r="940" spans="1:17">
      <c r="A940" t="s">
        <v>1021</v>
      </c>
      <c r="B940" t="s">
        <v>968</v>
      </c>
      <c r="C940">
        <v>0</v>
      </c>
      <c r="D940" t="s">
        <v>762</v>
      </c>
      <c r="E940" t="s">
        <v>965</v>
      </c>
      <c r="F940" t="s">
        <v>1037</v>
      </c>
      <c r="G940" t="s">
        <v>968</v>
      </c>
      <c r="H940">
        <v>7.75</v>
      </c>
      <c r="K940">
        <v>107745020</v>
      </c>
      <c r="L940" s="2">
        <v>45450</v>
      </c>
      <c r="M940">
        <v>28</v>
      </c>
      <c r="N940">
        <v>1</v>
      </c>
      <c r="O940">
        <v>0</v>
      </c>
      <c r="P940">
        <v>1</v>
      </c>
      <c r="Q940" t="s">
        <v>7</v>
      </c>
    </row>
    <row r="941" spans="1:17">
      <c r="A941" t="s">
        <v>1021</v>
      </c>
      <c r="B941" t="s">
        <v>968</v>
      </c>
      <c r="C941">
        <v>0</v>
      </c>
      <c r="E941" t="s">
        <v>965</v>
      </c>
      <c r="F941" t="s">
        <v>1037</v>
      </c>
      <c r="G941" t="s">
        <v>968</v>
      </c>
      <c r="H941">
        <v>7.75</v>
      </c>
      <c r="K941">
        <v>105630128</v>
      </c>
      <c r="L941" s="2">
        <v>43361</v>
      </c>
      <c r="M941">
        <v>30</v>
      </c>
      <c r="N941">
        <v>1</v>
      </c>
      <c r="O941">
        <v>7</v>
      </c>
      <c r="P941">
        <v>2</v>
      </c>
      <c r="Q941" t="s">
        <v>7</v>
      </c>
    </row>
    <row r="942" spans="1:17">
      <c r="A942" t="s">
        <v>1021</v>
      </c>
      <c r="B942" t="s">
        <v>968</v>
      </c>
      <c r="C942">
        <v>0</v>
      </c>
      <c r="D942" t="s">
        <v>756</v>
      </c>
      <c r="E942" t="s">
        <v>965</v>
      </c>
      <c r="F942" t="s">
        <v>1037</v>
      </c>
      <c r="G942" t="s">
        <v>968</v>
      </c>
      <c r="H942">
        <v>7.75</v>
      </c>
      <c r="K942">
        <v>108435154</v>
      </c>
      <c r="L942" s="2">
        <v>46096</v>
      </c>
      <c r="M942">
        <v>30</v>
      </c>
      <c r="N942">
        <v>1</v>
      </c>
      <c r="O942">
        <v>7</v>
      </c>
      <c r="P942">
        <v>1</v>
      </c>
      <c r="Q942" t="s">
        <v>3</v>
      </c>
    </row>
    <row r="943" spans="1:17">
      <c r="A943" t="s">
        <v>1021</v>
      </c>
      <c r="B943" t="s">
        <v>968</v>
      </c>
      <c r="C943">
        <v>0</v>
      </c>
      <c r="E943" t="s">
        <v>965</v>
      </c>
      <c r="F943" t="s">
        <v>977</v>
      </c>
      <c r="G943" t="s">
        <v>968</v>
      </c>
      <c r="H943">
        <v>7.75</v>
      </c>
      <c r="K943">
        <v>107686114</v>
      </c>
      <c r="L943" s="2">
        <v>45396</v>
      </c>
      <c r="M943">
        <v>30</v>
      </c>
      <c r="N943">
        <v>1</v>
      </c>
      <c r="O943">
        <v>7</v>
      </c>
      <c r="P943">
        <v>1</v>
      </c>
      <c r="Q943" t="s">
        <v>7</v>
      </c>
    </row>
    <row r="944" spans="1:17">
      <c r="A944" t="s">
        <v>1021</v>
      </c>
      <c r="B944" t="s">
        <v>968</v>
      </c>
      <c r="C944">
        <v>0</v>
      </c>
      <c r="E944" t="s">
        <v>965</v>
      </c>
      <c r="F944" t="s">
        <v>964</v>
      </c>
      <c r="G944" t="s">
        <v>968</v>
      </c>
      <c r="H944">
        <v>7.75</v>
      </c>
      <c r="K944">
        <v>105823332</v>
      </c>
      <c r="L944" s="2">
        <v>43545</v>
      </c>
      <c r="M944">
        <v>21</v>
      </c>
      <c r="N944">
        <v>1</v>
      </c>
      <c r="O944">
        <v>7</v>
      </c>
      <c r="P944">
        <v>1</v>
      </c>
      <c r="Q944" t="s">
        <v>3</v>
      </c>
    </row>
    <row r="945" spans="1:17">
      <c r="A945" t="s">
        <v>1021</v>
      </c>
      <c r="B945" t="s">
        <v>968</v>
      </c>
      <c r="C945">
        <v>0</v>
      </c>
      <c r="E945" t="s">
        <v>965</v>
      </c>
      <c r="F945" t="s">
        <v>964</v>
      </c>
      <c r="G945" t="s">
        <v>968</v>
      </c>
      <c r="H945">
        <v>7.75</v>
      </c>
      <c r="K945">
        <v>106802204</v>
      </c>
      <c r="L945" s="2">
        <v>44430</v>
      </c>
      <c r="M945">
        <v>21</v>
      </c>
      <c r="N945">
        <v>1</v>
      </c>
      <c r="O945">
        <v>7</v>
      </c>
      <c r="P945">
        <v>1</v>
      </c>
      <c r="Q945" t="s">
        <v>7</v>
      </c>
    </row>
    <row r="946" spans="1:17">
      <c r="A946" t="s">
        <v>1021</v>
      </c>
      <c r="B946" t="s">
        <v>968</v>
      </c>
      <c r="C946">
        <v>0</v>
      </c>
      <c r="E946" t="s">
        <v>965</v>
      </c>
      <c r="F946" t="s">
        <v>964</v>
      </c>
      <c r="G946" t="s">
        <v>968</v>
      </c>
      <c r="H946">
        <v>7.75</v>
      </c>
      <c r="K946">
        <v>107173243</v>
      </c>
      <c r="L946" s="2">
        <v>44899</v>
      </c>
      <c r="M946">
        <v>24</v>
      </c>
      <c r="N946">
        <v>1</v>
      </c>
      <c r="O946">
        <v>7</v>
      </c>
      <c r="P946">
        <v>1</v>
      </c>
      <c r="Q946" t="s">
        <v>7</v>
      </c>
    </row>
    <row r="947" spans="1:17">
      <c r="A947" t="s">
        <v>1021</v>
      </c>
      <c r="B947" t="s">
        <v>968</v>
      </c>
      <c r="C947">
        <v>0</v>
      </c>
      <c r="E947" t="s">
        <v>965</v>
      </c>
      <c r="F947" t="s">
        <v>964</v>
      </c>
      <c r="G947" t="s">
        <v>968</v>
      </c>
      <c r="H947">
        <v>7.75</v>
      </c>
      <c r="K947">
        <v>107719789</v>
      </c>
      <c r="L947" s="2">
        <v>45427</v>
      </c>
      <c r="M947">
        <v>26</v>
      </c>
      <c r="N947">
        <v>2</v>
      </c>
      <c r="O947">
        <v>7</v>
      </c>
      <c r="P947">
        <v>1</v>
      </c>
      <c r="Q947" t="s">
        <v>7</v>
      </c>
    </row>
    <row r="948" spans="1:17">
      <c r="A948" t="s">
        <v>1021</v>
      </c>
      <c r="B948" t="s">
        <v>968</v>
      </c>
      <c r="C948">
        <v>0</v>
      </c>
      <c r="D948" t="s">
        <v>757</v>
      </c>
      <c r="E948" t="s">
        <v>965</v>
      </c>
      <c r="F948" t="s">
        <v>964</v>
      </c>
      <c r="G948" t="s">
        <v>968</v>
      </c>
      <c r="H948">
        <v>7.75</v>
      </c>
      <c r="K948">
        <v>107577516</v>
      </c>
      <c r="L948" s="2">
        <v>45287</v>
      </c>
      <c r="M948">
        <v>28</v>
      </c>
      <c r="N948">
        <v>2</v>
      </c>
      <c r="O948">
        <v>4</v>
      </c>
      <c r="P948">
        <v>1</v>
      </c>
      <c r="Q948" t="s">
        <v>7</v>
      </c>
    </row>
    <row r="949" spans="1:17">
      <c r="A949" t="s">
        <v>1021</v>
      </c>
      <c r="B949" t="s">
        <v>968</v>
      </c>
      <c r="C949">
        <v>0</v>
      </c>
      <c r="D949" t="s">
        <v>757</v>
      </c>
      <c r="E949" t="s">
        <v>965</v>
      </c>
      <c r="F949" t="s">
        <v>964</v>
      </c>
      <c r="G949" t="s">
        <v>968</v>
      </c>
      <c r="H949">
        <v>7.75</v>
      </c>
      <c r="K949">
        <v>108194616</v>
      </c>
      <c r="L949" s="2">
        <v>45874</v>
      </c>
      <c r="M949">
        <v>28</v>
      </c>
      <c r="N949">
        <v>2</v>
      </c>
      <c r="O949">
        <v>0</v>
      </c>
      <c r="P949">
        <v>4</v>
      </c>
      <c r="Q949" t="s">
        <v>7</v>
      </c>
    </row>
    <row r="950" spans="1:17">
      <c r="A950" t="s">
        <v>1021</v>
      </c>
      <c r="B950" t="s">
        <v>968</v>
      </c>
      <c r="C950">
        <v>0</v>
      </c>
      <c r="E950" t="s">
        <v>965</v>
      </c>
      <c r="F950" t="s">
        <v>964</v>
      </c>
      <c r="G950" t="s">
        <v>968</v>
      </c>
      <c r="H950">
        <v>7.75</v>
      </c>
      <c r="K950">
        <v>107365183</v>
      </c>
      <c r="L950" s="2">
        <v>45074</v>
      </c>
      <c r="M950">
        <v>30</v>
      </c>
      <c r="N950">
        <v>2</v>
      </c>
      <c r="O950">
        <v>7</v>
      </c>
      <c r="P950">
        <v>1</v>
      </c>
      <c r="Q950" t="s">
        <v>8</v>
      </c>
    </row>
    <row r="951" spans="1:17">
      <c r="A951" t="s">
        <v>1021</v>
      </c>
      <c r="B951" t="s">
        <v>968</v>
      </c>
      <c r="C951">
        <v>0</v>
      </c>
      <c r="E951" t="s">
        <v>965</v>
      </c>
      <c r="G951" t="s">
        <v>968</v>
      </c>
      <c r="H951">
        <v>7.75</v>
      </c>
      <c r="K951">
        <v>108589989</v>
      </c>
      <c r="L951" s="2">
        <v>46248</v>
      </c>
      <c r="M951">
        <v>21</v>
      </c>
      <c r="N951">
        <v>1</v>
      </c>
      <c r="O951">
        <v>7</v>
      </c>
      <c r="P951">
        <v>1</v>
      </c>
      <c r="Q951" t="s">
        <v>7</v>
      </c>
    </row>
    <row r="952" spans="1:17">
      <c r="A952" t="s">
        <v>1021</v>
      </c>
      <c r="B952" t="s">
        <v>968</v>
      </c>
      <c r="C952">
        <v>0</v>
      </c>
      <c r="E952" t="s">
        <v>965</v>
      </c>
      <c r="G952" t="s">
        <v>968</v>
      </c>
      <c r="H952">
        <v>7.75</v>
      </c>
      <c r="K952">
        <v>107438779</v>
      </c>
      <c r="L952" s="2">
        <v>45166</v>
      </c>
      <c r="M952">
        <v>21</v>
      </c>
      <c r="N952">
        <v>2</v>
      </c>
      <c r="O952">
        <v>0</v>
      </c>
      <c r="P952">
        <v>4</v>
      </c>
      <c r="Q952" t="s">
        <v>7</v>
      </c>
    </row>
    <row r="953" spans="1:17">
      <c r="A953" t="s">
        <v>1021</v>
      </c>
      <c r="B953" t="s">
        <v>968</v>
      </c>
      <c r="C953">
        <v>0</v>
      </c>
      <c r="E953" t="s">
        <v>965</v>
      </c>
      <c r="G953" t="s">
        <v>968</v>
      </c>
      <c r="H953">
        <v>7.75</v>
      </c>
      <c r="K953">
        <v>106802411</v>
      </c>
      <c r="L953" s="2">
        <v>44525</v>
      </c>
      <c r="M953">
        <v>21</v>
      </c>
      <c r="N953">
        <v>1</v>
      </c>
      <c r="O953">
        <v>0</v>
      </c>
      <c r="P953">
        <v>4</v>
      </c>
      <c r="Q953" t="s">
        <v>7</v>
      </c>
    </row>
    <row r="954" spans="1:17">
      <c r="A954" t="s">
        <v>1021</v>
      </c>
      <c r="B954" t="s">
        <v>968</v>
      </c>
      <c r="C954">
        <v>0</v>
      </c>
      <c r="E954" t="s">
        <v>965</v>
      </c>
      <c r="G954" t="s">
        <v>968</v>
      </c>
      <c r="H954">
        <v>7.75</v>
      </c>
      <c r="K954">
        <v>107364211</v>
      </c>
      <c r="L954" s="2">
        <v>44971</v>
      </c>
      <c r="M954">
        <v>21</v>
      </c>
      <c r="N954">
        <v>1</v>
      </c>
      <c r="O954">
        <v>0</v>
      </c>
      <c r="P954">
        <v>1</v>
      </c>
      <c r="Q954" t="s">
        <v>7</v>
      </c>
    </row>
    <row r="955" spans="1:17">
      <c r="A955" t="s">
        <v>1021</v>
      </c>
      <c r="B955" t="s">
        <v>968</v>
      </c>
      <c r="C955">
        <v>0</v>
      </c>
      <c r="E955" t="s">
        <v>965</v>
      </c>
      <c r="G955" t="s">
        <v>968</v>
      </c>
      <c r="H955">
        <v>7.75</v>
      </c>
      <c r="K955">
        <v>108185742</v>
      </c>
      <c r="L955" s="2">
        <v>45867</v>
      </c>
      <c r="M955">
        <v>21</v>
      </c>
      <c r="N955">
        <v>1</v>
      </c>
      <c r="O955">
        <v>7</v>
      </c>
      <c r="P955">
        <v>1</v>
      </c>
      <c r="Q955" t="s">
        <v>3</v>
      </c>
    </row>
    <row r="956" spans="1:17">
      <c r="A956" t="s">
        <v>1021</v>
      </c>
      <c r="B956" t="s">
        <v>968</v>
      </c>
      <c r="C956">
        <v>0</v>
      </c>
      <c r="E956" t="s">
        <v>965</v>
      </c>
      <c r="G956" t="s">
        <v>968</v>
      </c>
      <c r="H956">
        <v>7.75</v>
      </c>
      <c r="K956">
        <v>107678020</v>
      </c>
      <c r="L956" s="2">
        <v>45387</v>
      </c>
      <c r="M956">
        <v>28</v>
      </c>
      <c r="N956">
        <v>1</v>
      </c>
      <c r="O956">
        <v>7</v>
      </c>
      <c r="P956">
        <v>5</v>
      </c>
      <c r="Q956" t="s">
        <v>7</v>
      </c>
    </row>
    <row r="957" spans="1:17">
      <c r="A957" t="s">
        <v>1021</v>
      </c>
      <c r="B957" t="s">
        <v>968</v>
      </c>
      <c r="C957">
        <v>0</v>
      </c>
      <c r="E957" t="s">
        <v>965</v>
      </c>
      <c r="G957" t="s">
        <v>968</v>
      </c>
      <c r="H957">
        <v>7.75</v>
      </c>
      <c r="K957">
        <v>107764253</v>
      </c>
      <c r="L957" s="2">
        <v>45469</v>
      </c>
      <c r="M957">
        <v>30</v>
      </c>
      <c r="N957">
        <v>1</v>
      </c>
      <c r="O957">
        <v>7</v>
      </c>
      <c r="P957">
        <v>1</v>
      </c>
      <c r="Q957" t="s">
        <v>7</v>
      </c>
    </row>
    <row r="958" spans="1:17">
      <c r="A958" t="s">
        <v>1021</v>
      </c>
      <c r="B958" t="s">
        <v>968</v>
      </c>
      <c r="C958">
        <v>0</v>
      </c>
      <c r="E958" t="s">
        <v>965</v>
      </c>
      <c r="G958" t="s">
        <v>968</v>
      </c>
      <c r="H958">
        <v>7.75</v>
      </c>
      <c r="K958">
        <v>107173244</v>
      </c>
      <c r="L958" s="2">
        <v>44898</v>
      </c>
      <c r="M958">
        <v>30</v>
      </c>
      <c r="N958">
        <v>1</v>
      </c>
      <c r="O958">
        <v>7</v>
      </c>
      <c r="P958">
        <v>5</v>
      </c>
      <c r="Q958" t="s">
        <v>3</v>
      </c>
    </row>
    <row r="959" spans="1:17">
      <c r="A959" t="s">
        <v>1021</v>
      </c>
      <c r="B959" t="s">
        <v>968</v>
      </c>
      <c r="C959">
        <v>0</v>
      </c>
      <c r="E959" t="s">
        <v>962</v>
      </c>
      <c r="F959" t="s">
        <v>963</v>
      </c>
      <c r="G959" t="s">
        <v>968</v>
      </c>
      <c r="H959">
        <v>7.75</v>
      </c>
      <c r="K959">
        <v>106851959</v>
      </c>
      <c r="L959" s="2">
        <v>44595</v>
      </c>
      <c r="M959">
        <v>25</v>
      </c>
      <c r="N959">
        <v>1</v>
      </c>
      <c r="O959">
        <v>7</v>
      </c>
      <c r="P959">
        <v>1</v>
      </c>
      <c r="Q959" t="s">
        <v>7</v>
      </c>
    </row>
    <row r="960" spans="1:17">
      <c r="A960" t="s">
        <v>754</v>
      </c>
      <c r="B960" t="s">
        <v>968</v>
      </c>
      <c r="C960">
        <v>0</v>
      </c>
      <c r="E960" t="s">
        <v>962</v>
      </c>
      <c r="F960" t="s">
        <v>969</v>
      </c>
      <c r="G960" t="s">
        <v>968</v>
      </c>
      <c r="H960">
        <v>7.75</v>
      </c>
      <c r="K960">
        <v>107453105</v>
      </c>
      <c r="L960" s="2">
        <v>45176</v>
      </c>
      <c r="M960">
        <v>21</v>
      </c>
      <c r="N960">
        <v>1</v>
      </c>
      <c r="O960">
        <v>7</v>
      </c>
      <c r="P960">
        <v>1</v>
      </c>
      <c r="Q960" t="s">
        <v>3</v>
      </c>
    </row>
    <row r="961" spans="1:22">
      <c r="A961" t="s">
        <v>1021</v>
      </c>
      <c r="B961" t="s">
        <v>968</v>
      </c>
      <c r="C961">
        <v>0</v>
      </c>
      <c r="E961" t="s">
        <v>962</v>
      </c>
      <c r="F961" t="s">
        <v>969</v>
      </c>
      <c r="G961" t="s">
        <v>968</v>
      </c>
      <c r="H961">
        <v>7.75</v>
      </c>
      <c r="K961">
        <v>105536837</v>
      </c>
      <c r="L961" s="2">
        <v>43288</v>
      </c>
      <c r="M961">
        <v>21</v>
      </c>
      <c r="N961">
        <v>2</v>
      </c>
      <c r="O961">
        <v>0</v>
      </c>
      <c r="P961">
        <v>1</v>
      </c>
      <c r="Q961" t="s">
        <v>3</v>
      </c>
    </row>
    <row r="962" spans="1:22">
      <c r="A962" t="s">
        <v>1021</v>
      </c>
      <c r="B962" t="s">
        <v>968</v>
      </c>
      <c r="C962">
        <v>0</v>
      </c>
      <c r="E962" t="s">
        <v>962</v>
      </c>
      <c r="F962" t="s">
        <v>969</v>
      </c>
      <c r="G962" t="s">
        <v>968</v>
      </c>
      <c r="H962">
        <v>7.75</v>
      </c>
      <c r="K962">
        <v>105553961</v>
      </c>
      <c r="L962" s="2">
        <v>43305</v>
      </c>
      <c r="M962">
        <v>21</v>
      </c>
      <c r="N962">
        <v>2</v>
      </c>
      <c r="O962">
        <v>0</v>
      </c>
      <c r="P962">
        <v>1</v>
      </c>
      <c r="Q962" t="s">
        <v>7</v>
      </c>
    </row>
    <row r="963" spans="1:22">
      <c r="A963" t="s">
        <v>1021</v>
      </c>
      <c r="B963" t="s">
        <v>968</v>
      </c>
      <c r="C963">
        <v>0</v>
      </c>
      <c r="E963" t="s">
        <v>962</v>
      </c>
      <c r="F963" t="s">
        <v>969</v>
      </c>
      <c r="G963" t="s">
        <v>968</v>
      </c>
      <c r="H963">
        <v>7.75</v>
      </c>
      <c r="K963">
        <v>108549390</v>
      </c>
      <c r="L963" s="2">
        <v>46202</v>
      </c>
      <c r="M963">
        <v>23</v>
      </c>
      <c r="N963">
        <v>1</v>
      </c>
      <c r="O963">
        <v>7</v>
      </c>
      <c r="P963">
        <v>1</v>
      </c>
      <c r="Q963" t="s">
        <v>7</v>
      </c>
      <c r="R963">
        <v>35.176679999999998</v>
      </c>
      <c r="S963">
        <v>-79.43083</v>
      </c>
      <c r="T963" t="s">
        <v>755</v>
      </c>
      <c r="U963" t="s">
        <v>367</v>
      </c>
      <c r="V963">
        <v>0.19289999999999999</v>
      </c>
    </row>
    <row r="964" spans="1:22">
      <c r="A964" t="s">
        <v>754</v>
      </c>
      <c r="B964" t="s">
        <v>968</v>
      </c>
      <c r="C964">
        <v>0</v>
      </c>
      <c r="E964" t="s">
        <v>962</v>
      </c>
      <c r="F964" t="s">
        <v>969</v>
      </c>
      <c r="G964" t="s">
        <v>968</v>
      </c>
      <c r="H964">
        <v>7.75</v>
      </c>
      <c r="K964">
        <v>107491626</v>
      </c>
      <c r="L964" s="2">
        <v>45209</v>
      </c>
      <c r="M964">
        <v>30</v>
      </c>
      <c r="N964">
        <v>1</v>
      </c>
      <c r="O964">
        <v>7</v>
      </c>
      <c r="P964">
        <v>4</v>
      </c>
      <c r="Q964" t="s">
        <v>8</v>
      </c>
      <c r="R964">
        <v>35.170140000000004</v>
      </c>
      <c r="S964">
        <v>-79.405959999999993</v>
      </c>
      <c r="T964" t="s">
        <v>761</v>
      </c>
      <c r="U964" t="s">
        <v>367</v>
      </c>
      <c r="V964">
        <v>1.3612</v>
      </c>
    </row>
    <row r="965" spans="1:22">
      <c r="A965" t="s">
        <v>754</v>
      </c>
      <c r="B965" t="s">
        <v>968</v>
      </c>
      <c r="C965">
        <v>0</v>
      </c>
      <c r="E965" t="s">
        <v>962</v>
      </c>
      <c r="F965" t="s">
        <v>1002</v>
      </c>
      <c r="G965" t="s">
        <v>968</v>
      </c>
      <c r="H965">
        <v>7.75</v>
      </c>
      <c r="K965">
        <v>106783591</v>
      </c>
      <c r="L965" s="2">
        <v>44526</v>
      </c>
      <c r="M965">
        <v>21</v>
      </c>
      <c r="N965">
        <v>2</v>
      </c>
      <c r="O965">
        <v>7</v>
      </c>
      <c r="P965">
        <v>1</v>
      </c>
      <c r="Q965" t="s">
        <v>3</v>
      </c>
    </row>
    <row r="966" spans="1:22">
      <c r="A966" t="s">
        <v>1021</v>
      </c>
      <c r="B966" t="s">
        <v>968</v>
      </c>
      <c r="C966">
        <v>0</v>
      </c>
      <c r="E966" t="s">
        <v>962</v>
      </c>
      <c r="F966" t="s">
        <v>1002</v>
      </c>
      <c r="G966" t="s">
        <v>968</v>
      </c>
      <c r="H966">
        <v>7.75</v>
      </c>
      <c r="K966">
        <v>106004818</v>
      </c>
      <c r="L966" s="2">
        <v>43727</v>
      </c>
      <c r="M966">
        <v>21</v>
      </c>
      <c r="N966">
        <v>1</v>
      </c>
      <c r="O966">
        <v>0</v>
      </c>
      <c r="P966">
        <v>1</v>
      </c>
      <c r="Q966" t="s">
        <v>7</v>
      </c>
    </row>
    <row r="967" spans="1:22">
      <c r="A967" t="s">
        <v>754</v>
      </c>
      <c r="B967" t="s">
        <v>968</v>
      </c>
      <c r="C967">
        <v>0</v>
      </c>
      <c r="E967" t="s">
        <v>962</v>
      </c>
      <c r="F967" t="s">
        <v>960</v>
      </c>
      <c r="G967" t="s">
        <v>968</v>
      </c>
      <c r="H967">
        <v>7.75</v>
      </c>
      <c r="K967">
        <v>107579695</v>
      </c>
      <c r="L967" s="2">
        <v>45289</v>
      </c>
      <c r="M967">
        <v>23</v>
      </c>
      <c r="N967">
        <v>1</v>
      </c>
      <c r="O967">
        <v>7</v>
      </c>
      <c r="P967">
        <v>5</v>
      </c>
      <c r="Q967" t="s">
        <v>7</v>
      </c>
      <c r="R967">
        <v>35.177379999999999</v>
      </c>
      <c r="S967">
        <v>-79.431399999999996</v>
      </c>
      <c r="T967" t="s">
        <v>761</v>
      </c>
      <c r="U967" t="s">
        <v>367</v>
      </c>
      <c r="V967">
        <v>0.20230000000000001</v>
      </c>
    </row>
    <row r="968" spans="1:22">
      <c r="A968" t="s">
        <v>1021</v>
      </c>
      <c r="B968" t="s">
        <v>968</v>
      </c>
      <c r="C968">
        <v>0</v>
      </c>
      <c r="E968" t="s">
        <v>962</v>
      </c>
      <c r="F968" t="s">
        <v>1024</v>
      </c>
      <c r="G968" t="s">
        <v>968</v>
      </c>
      <c r="H968">
        <v>7.75</v>
      </c>
      <c r="K968">
        <v>107257245</v>
      </c>
      <c r="L968" s="2">
        <v>44985</v>
      </c>
      <c r="M968">
        <v>24</v>
      </c>
      <c r="N968">
        <v>1</v>
      </c>
      <c r="O968">
        <v>7</v>
      </c>
      <c r="P968">
        <v>1</v>
      </c>
      <c r="Q968" t="s">
        <v>7</v>
      </c>
    </row>
    <row r="969" spans="1:22">
      <c r="A969" t="s">
        <v>754</v>
      </c>
      <c r="B969" t="s">
        <v>968</v>
      </c>
      <c r="C969">
        <v>0</v>
      </c>
      <c r="E969" t="s">
        <v>962</v>
      </c>
      <c r="F969" t="s">
        <v>979</v>
      </c>
      <c r="G969" t="s">
        <v>968</v>
      </c>
      <c r="H969">
        <v>7.75</v>
      </c>
      <c r="K969">
        <v>108185010</v>
      </c>
      <c r="L969" s="2">
        <v>45866</v>
      </c>
      <c r="M969">
        <v>21</v>
      </c>
      <c r="N969">
        <v>1</v>
      </c>
      <c r="O969">
        <v>7</v>
      </c>
      <c r="P969">
        <v>1</v>
      </c>
      <c r="Q969" t="s">
        <v>7</v>
      </c>
      <c r="R969">
        <v>35.178800000000003</v>
      </c>
      <c r="S969">
        <v>-79.430070000000001</v>
      </c>
      <c r="T969" t="s">
        <v>761</v>
      </c>
      <c r="U969" t="s">
        <v>367</v>
      </c>
      <c r="V969">
        <v>0.1265</v>
      </c>
    </row>
    <row r="970" spans="1:22">
      <c r="A970" t="s">
        <v>1021</v>
      </c>
      <c r="B970" t="s">
        <v>968</v>
      </c>
      <c r="C970">
        <v>0</v>
      </c>
      <c r="E970" t="s">
        <v>962</v>
      </c>
      <c r="F970" t="s">
        <v>964</v>
      </c>
      <c r="G970" t="s">
        <v>968</v>
      </c>
      <c r="H970">
        <v>7.75</v>
      </c>
      <c r="K970">
        <v>106144631</v>
      </c>
      <c r="L970" s="2">
        <v>43863</v>
      </c>
      <c r="M970">
        <v>30</v>
      </c>
      <c r="N970">
        <v>1</v>
      </c>
      <c r="O970">
        <v>7</v>
      </c>
      <c r="P970">
        <v>1</v>
      </c>
      <c r="Q970" t="s">
        <v>3</v>
      </c>
    </row>
    <row r="971" spans="1:22">
      <c r="A971" t="s">
        <v>1021</v>
      </c>
      <c r="B971" t="s">
        <v>1080</v>
      </c>
      <c r="C971">
        <v>0</v>
      </c>
      <c r="E971" t="s">
        <v>965</v>
      </c>
      <c r="F971" t="s">
        <v>1072</v>
      </c>
      <c r="G971" t="s">
        <v>968</v>
      </c>
      <c r="H971">
        <v>7.75</v>
      </c>
      <c r="K971">
        <v>105720653</v>
      </c>
      <c r="L971" s="2">
        <v>43428</v>
      </c>
      <c r="M971">
        <v>21</v>
      </c>
      <c r="N971">
        <v>2</v>
      </c>
      <c r="O971">
        <v>0</v>
      </c>
      <c r="P971">
        <v>1</v>
      </c>
      <c r="Q971" t="s">
        <v>7</v>
      </c>
    </row>
    <row r="972" spans="1:22">
      <c r="A972" t="s">
        <v>1021</v>
      </c>
      <c r="B972" t="s">
        <v>1080</v>
      </c>
      <c r="C972">
        <v>0</v>
      </c>
      <c r="E972" t="s">
        <v>965</v>
      </c>
      <c r="F972" t="s">
        <v>1072</v>
      </c>
      <c r="G972" t="s">
        <v>968</v>
      </c>
      <c r="H972">
        <v>7.75</v>
      </c>
      <c r="K972">
        <v>106811655</v>
      </c>
      <c r="L972" s="2">
        <v>44552</v>
      </c>
      <c r="M972">
        <v>21</v>
      </c>
      <c r="N972">
        <v>1</v>
      </c>
      <c r="O972">
        <v>7</v>
      </c>
      <c r="P972">
        <v>4</v>
      </c>
      <c r="Q972" t="s">
        <v>7</v>
      </c>
    </row>
    <row r="973" spans="1:22">
      <c r="A973" t="s">
        <v>1021</v>
      </c>
      <c r="B973" t="s">
        <v>1080</v>
      </c>
      <c r="C973">
        <v>0</v>
      </c>
      <c r="D973" t="s">
        <v>762</v>
      </c>
      <c r="E973" t="s">
        <v>965</v>
      </c>
      <c r="F973" t="s">
        <v>963</v>
      </c>
      <c r="G973" t="s">
        <v>968</v>
      </c>
      <c r="H973">
        <v>7.75</v>
      </c>
      <c r="K973">
        <v>107922311</v>
      </c>
      <c r="L973" s="2">
        <v>45612</v>
      </c>
      <c r="M973">
        <v>28</v>
      </c>
      <c r="N973">
        <v>1</v>
      </c>
      <c r="O973">
        <v>0</v>
      </c>
      <c r="P973">
        <v>1</v>
      </c>
      <c r="Q973" t="s">
        <v>7</v>
      </c>
    </row>
    <row r="974" spans="1:22">
      <c r="A974" t="s">
        <v>1021</v>
      </c>
      <c r="B974" t="s">
        <v>1080</v>
      </c>
      <c r="C974">
        <v>0</v>
      </c>
      <c r="D974" t="s">
        <v>765</v>
      </c>
      <c r="E974" t="s">
        <v>965</v>
      </c>
      <c r="F974" t="s">
        <v>964</v>
      </c>
      <c r="G974" t="s">
        <v>968</v>
      </c>
      <c r="H974">
        <v>7.75</v>
      </c>
      <c r="K974">
        <v>106801970</v>
      </c>
      <c r="L974" s="2">
        <v>44316</v>
      </c>
      <c r="M974">
        <v>21</v>
      </c>
      <c r="N974">
        <v>1</v>
      </c>
      <c r="O974">
        <v>7</v>
      </c>
      <c r="P974">
        <v>1</v>
      </c>
      <c r="Q974" t="s">
        <v>7</v>
      </c>
    </row>
    <row r="975" spans="1:22">
      <c r="A975" t="s">
        <v>1021</v>
      </c>
      <c r="B975" t="s">
        <v>1080</v>
      </c>
      <c r="C975">
        <v>0</v>
      </c>
      <c r="E975" t="s">
        <v>965</v>
      </c>
      <c r="F975" t="s">
        <v>964</v>
      </c>
      <c r="G975" t="s">
        <v>968</v>
      </c>
      <c r="H975">
        <v>7.75</v>
      </c>
      <c r="K975">
        <v>107224539</v>
      </c>
      <c r="L975" s="2">
        <v>44952</v>
      </c>
      <c r="M975">
        <v>21</v>
      </c>
      <c r="N975">
        <v>1</v>
      </c>
      <c r="O975">
        <v>7</v>
      </c>
      <c r="P975">
        <v>1</v>
      </c>
      <c r="Q975" t="s">
        <v>3</v>
      </c>
    </row>
    <row r="976" spans="1:22">
      <c r="A976" t="s">
        <v>1021</v>
      </c>
      <c r="B976" t="s">
        <v>1080</v>
      </c>
      <c r="C976">
        <v>0</v>
      </c>
      <c r="D976" t="s">
        <v>757</v>
      </c>
      <c r="E976" t="s">
        <v>965</v>
      </c>
      <c r="F976" t="s">
        <v>964</v>
      </c>
      <c r="G976" t="s">
        <v>968</v>
      </c>
      <c r="H976">
        <v>7.75</v>
      </c>
      <c r="K976">
        <v>106802459</v>
      </c>
      <c r="L976" s="2">
        <v>44540</v>
      </c>
      <c r="M976">
        <v>28</v>
      </c>
      <c r="N976">
        <v>1</v>
      </c>
      <c r="O976">
        <v>7</v>
      </c>
      <c r="P976">
        <v>5</v>
      </c>
      <c r="Q976" t="s">
        <v>7</v>
      </c>
    </row>
    <row r="977" spans="1:22">
      <c r="A977" t="s">
        <v>754</v>
      </c>
      <c r="B977" t="s">
        <v>968</v>
      </c>
      <c r="C977">
        <v>2E-3</v>
      </c>
      <c r="D977" t="s">
        <v>757</v>
      </c>
      <c r="E977" t="s">
        <v>962</v>
      </c>
      <c r="F977" t="s">
        <v>960</v>
      </c>
      <c r="G977" t="s">
        <v>968</v>
      </c>
      <c r="H977">
        <v>7.7519999999999998</v>
      </c>
      <c r="K977">
        <v>106907942</v>
      </c>
      <c r="L977" s="2">
        <v>44651</v>
      </c>
      <c r="M977">
        <v>21</v>
      </c>
      <c r="N977">
        <v>2</v>
      </c>
      <c r="O977">
        <v>12</v>
      </c>
      <c r="P977">
        <v>1</v>
      </c>
      <c r="Q977" t="s">
        <v>7</v>
      </c>
    </row>
    <row r="978" spans="1:22">
      <c r="A978" t="s">
        <v>1021</v>
      </c>
      <c r="B978" t="s">
        <v>968</v>
      </c>
      <c r="C978">
        <v>3.0000000000000001E-3</v>
      </c>
      <c r="D978" t="s">
        <v>757</v>
      </c>
      <c r="E978" t="s">
        <v>965</v>
      </c>
      <c r="F978" t="s">
        <v>1085</v>
      </c>
      <c r="G978" t="s">
        <v>968</v>
      </c>
      <c r="H978">
        <v>7.7530000000000001</v>
      </c>
      <c r="K978">
        <v>104998988</v>
      </c>
      <c r="L978" s="2">
        <v>42734</v>
      </c>
      <c r="M978">
        <v>30</v>
      </c>
      <c r="N978">
        <v>1</v>
      </c>
      <c r="O978">
        <v>7</v>
      </c>
      <c r="P978">
        <v>4</v>
      </c>
      <c r="Q978" t="s">
        <v>7</v>
      </c>
    </row>
    <row r="979" spans="1:22">
      <c r="A979" t="s">
        <v>1021</v>
      </c>
      <c r="B979" t="s">
        <v>968</v>
      </c>
      <c r="C979">
        <v>4.0000000000000001E-3</v>
      </c>
      <c r="D979" t="s">
        <v>765</v>
      </c>
      <c r="E979" t="s">
        <v>965</v>
      </c>
      <c r="F979" t="s">
        <v>977</v>
      </c>
      <c r="G979" t="s">
        <v>968</v>
      </c>
      <c r="H979">
        <v>7.7539999999999996</v>
      </c>
      <c r="K979">
        <v>108029463</v>
      </c>
      <c r="L979" s="2">
        <v>45712</v>
      </c>
      <c r="M979">
        <v>1</v>
      </c>
      <c r="N979">
        <v>1</v>
      </c>
      <c r="O979">
        <v>7</v>
      </c>
      <c r="P979">
        <v>1</v>
      </c>
      <c r="Q979" t="s">
        <v>8</v>
      </c>
      <c r="R979">
        <v>35.177644999999998</v>
      </c>
      <c r="S979">
        <v>-79.431486000000007</v>
      </c>
      <c r="T979" t="s">
        <v>1060</v>
      </c>
      <c r="U979" t="s">
        <v>367</v>
      </c>
      <c r="V979">
        <v>0.20280000000000001</v>
      </c>
    </row>
    <row r="980" spans="1:22">
      <c r="A980" t="s">
        <v>754</v>
      </c>
      <c r="B980" t="s">
        <v>968</v>
      </c>
      <c r="C980">
        <v>4.0000000000000001E-3</v>
      </c>
      <c r="D980" t="s">
        <v>758</v>
      </c>
      <c r="E980" t="s">
        <v>961</v>
      </c>
      <c r="F980" t="s">
        <v>973</v>
      </c>
      <c r="G980" t="s">
        <v>968</v>
      </c>
      <c r="H980">
        <v>7.7539999999999996</v>
      </c>
      <c r="K980">
        <v>108244961</v>
      </c>
      <c r="L980" s="2">
        <v>45926</v>
      </c>
      <c r="M980">
        <v>26</v>
      </c>
      <c r="N980">
        <v>1</v>
      </c>
      <c r="O980">
        <v>7</v>
      </c>
      <c r="P980">
        <v>1</v>
      </c>
      <c r="Q980" t="s">
        <v>7</v>
      </c>
      <c r="R980">
        <v>35.177320000000002</v>
      </c>
      <c r="S980">
        <v>-79.431910000000002</v>
      </c>
      <c r="T980" t="s">
        <v>761</v>
      </c>
      <c r="U980" t="s">
        <v>367</v>
      </c>
      <c r="V980">
        <v>0.23119999999999999</v>
      </c>
    </row>
    <row r="981" spans="1:22">
      <c r="A981" t="s">
        <v>1021</v>
      </c>
      <c r="B981" t="s">
        <v>968</v>
      </c>
      <c r="C981">
        <v>6.0000000000000001E-3</v>
      </c>
      <c r="D981" t="s">
        <v>758</v>
      </c>
      <c r="E981" t="s">
        <v>965</v>
      </c>
      <c r="F981" t="s">
        <v>977</v>
      </c>
      <c r="G981" t="s">
        <v>968</v>
      </c>
      <c r="H981">
        <v>7.7560000000000002</v>
      </c>
      <c r="K981">
        <v>108377443</v>
      </c>
      <c r="L981" s="2">
        <v>46041</v>
      </c>
      <c r="M981">
        <v>30</v>
      </c>
      <c r="N981">
        <v>1</v>
      </c>
      <c r="O981">
        <v>0</v>
      </c>
      <c r="P981">
        <v>4</v>
      </c>
      <c r="Q981" t="s">
        <v>7</v>
      </c>
    </row>
    <row r="982" spans="1:22">
      <c r="A982" t="s">
        <v>1021</v>
      </c>
      <c r="B982" t="s">
        <v>968</v>
      </c>
      <c r="C982">
        <v>6.0000000000000001E-3</v>
      </c>
      <c r="D982" t="s">
        <v>757</v>
      </c>
      <c r="E982" t="s">
        <v>965</v>
      </c>
      <c r="F982" t="s">
        <v>964</v>
      </c>
      <c r="G982" t="s">
        <v>968</v>
      </c>
      <c r="H982">
        <v>7.7560000000000002</v>
      </c>
      <c r="K982">
        <v>106891013</v>
      </c>
      <c r="L982" s="2">
        <v>44636</v>
      </c>
      <c r="M982">
        <v>24</v>
      </c>
      <c r="N982">
        <v>1</v>
      </c>
      <c r="O982">
        <v>0</v>
      </c>
      <c r="P982">
        <v>1</v>
      </c>
      <c r="Q982" t="s">
        <v>8</v>
      </c>
    </row>
    <row r="983" spans="1:22">
      <c r="A983" t="s">
        <v>1021</v>
      </c>
      <c r="B983" t="s">
        <v>1080</v>
      </c>
      <c r="C983">
        <v>6.0000000000000001E-3</v>
      </c>
      <c r="D983" t="s">
        <v>757</v>
      </c>
      <c r="E983" t="s">
        <v>965</v>
      </c>
      <c r="F983" t="s">
        <v>963</v>
      </c>
      <c r="G983" t="s">
        <v>968</v>
      </c>
      <c r="H983">
        <v>7.7560000000000002</v>
      </c>
      <c r="K983">
        <v>106802032</v>
      </c>
      <c r="L983" s="2">
        <v>44348</v>
      </c>
      <c r="M983">
        <v>21</v>
      </c>
      <c r="N983">
        <v>1</v>
      </c>
      <c r="O983">
        <v>7</v>
      </c>
      <c r="P983">
        <v>1</v>
      </c>
      <c r="Q983" t="s">
        <v>7</v>
      </c>
    </row>
    <row r="984" spans="1:22">
      <c r="A984" t="s">
        <v>1021</v>
      </c>
      <c r="B984" t="s">
        <v>968</v>
      </c>
      <c r="C984">
        <v>8.9999999999999993E-3</v>
      </c>
      <c r="D984" t="s">
        <v>765</v>
      </c>
      <c r="E984" t="s">
        <v>965</v>
      </c>
      <c r="F984" t="s">
        <v>964</v>
      </c>
      <c r="G984" t="s">
        <v>968</v>
      </c>
      <c r="H984">
        <v>7.7590000000000003</v>
      </c>
      <c r="K984">
        <v>107479859</v>
      </c>
      <c r="L984" s="2">
        <v>45206</v>
      </c>
      <c r="M984">
        <v>26</v>
      </c>
      <c r="N984">
        <v>1</v>
      </c>
      <c r="O984">
        <v>7</v>
      </c>
      <c r="P984">
        <v>5</v>
      </c>
      <c r="Q984" t="s">
        <v>7</v>
      </c>
    </row>
    <row r="985" spans="1:22">
      <c r="A985" t="s">
        <v>1021</v>
      </c>
      <c r="B985" t="s">
        <v>968</v>
      </c>
      <c r="C985">
        <v>8.9999999999999993E-3</v>
      </c>
      <c r="D985" t="s">
        <v>765</v>
      </c>
      <c r="E985" t="s">
        <v>965</v>
      </c>
      <c r="G985" t="s">
        <v>968</v>
      </c>
      <c r="H985">
        <v>7.7590000000000003</v>
      </c>
      <c r="K985">
        <v>107928263</v>
      </c>
      <c r="L985" s="2">
        <v>45616</v>
      </c>
      <c r="M985">
        <v>21</v>
      </c>
      <c r="N985">
        <v>2</v>
      </c>
      <c r="O985">
        <v>7</v>
      </c>
      <c r="P985">
        <v>1</v>
      </c>
      <c r="Q985" t="s">
        <v>7</v>
      </c>
    </row>
    <row r="986" spans="1:22">
      <c r="A986" t="s">
        <v>1021</v>
      </c>
      <c r="B986" t="s">
        <v>968</v>
      </c>
      <c r="C986">
        <v>1.2999999999999999E-2</v>
      </c>
      <c r="D986" t="s">
        <v>765</v>
      </c>
      <c r="E986" t="s">
        <v>965</v>
      </c>
      <c r="F986" t="s">
        <v>1072</v>
      </c>
      <c r="G986" t="s">
        <v>968</v>
      </c>
      <c r="H986">
        <v>7.7629999999999999</v>
      </c>
      <c r="K986">
        <v>107925112</v>
      </c>
      <c r="L986" s="2">
        <v>45614</v>
      </c>
      <c r="M986">
        <v>28</v>
      </c>
      <c r="N986">
        <v>1</v>
      </c>
      <c r="O986">
        <v>7</v>
      </c>
      <c r="P986">
        <v>1</v>
      </c>
      <c r="Q986" t="s">
        <v>7</v>
      </c>
    </row>
    <row r="987" spans="1:22">
      <c r="A987" t="s">
        <v>1021</v>
      </c>
      <c r="B987" t="s">
        <v>968</v>
      </c>
      <c r="C987">
        <v>1.4E-2</v>
      </c>
      <c r="D987" t="s">
        <v>757</v>
      </c>
      <c r="E987" t="s">
        <v>965</v>
      </c>
      <c r="F987" t="s">
        <v>1072</v>
      </c>
      <c r="G987" t="s">
        <v>968</v>
      </c>
      <c r="H987">
        <v>7.7640000000000002</v>
      </c>
      <c r="K987">
        <v>106802436</v>
      </c>
      <c r="L987" s="2">
        <v>44538</v>
      </c>
      <c r="M987">
        <v>21</v>
      </c>
      <c r="N987">
        <v>1</v>
      </c>
      <c r="O987">
        <v>0</v>
      </c>
      <c r="P987">
        <v>1</v>
      </c>
      <c r="Q987" t="s">
        <v>7</v>
      </c>
    </row>
    <row r="988" spans="1:22">
      <c r="A988" t="s">
        <v>1021</v>
      </c>
      <c r="B988" t="s">
        <v>968</v>
      </c>
      <c r="C988">
        <v>1.7000000000000001E-2</v>
      </c>
      <c r="D988" t="s">
        <v>765</v>
      </c>
      <c r="E988" t="s">
        <v>965</v>
      </c>
      <c r="F988" t="s">
        <v>1072</v>
      </c>
      <c r="G988" t="s">
        <v>968</v>
      </c>
      <c r="H988">
        <v>7.7670000000000003</v>
      </c>
      <c r="K988">
        <v>108541324</v>
      </c>
      <c r="L988" s="2">
        <v>46199</v>
      </c>
      <c r="M988">
        <v>22</v>
      </c>
      <c r="N988">
        <v>1</v>
      </c>
      <c r="O988">
        <v>0</v>
      </c>
      <c r="P988">
        <v>1</v>
      </c>
      <c r="Q988" t="s">
        <v>7</v>
      </c>
    </row>
    <row r="989" spans="1:22">
      <c r="A989" t="s">
        <v>1021</v>
      </c>
      <c r="B989" t="s">
        <v>968</v>
      </c>
      <c r="C989">
        <v>1.9E-2</v>
      </c>
      <c r="D989" t="s">
        <v>765</v>
      </c>
      <c r="E989" t="s">
        <v>965</v>
      </c>
      <c r="F989" t="s">
        <v>1072</v>
      </c>
      <c r="G989" t="s">
        <v>968</v>
      </c>
      <c r="H989">
        <v>7.7690000000000001</v>
      </c>
      <c r="K989">
        <v>107870047</v>
      </c>
      <c r="L989" s="2">
        <v>45568</v>
      </c>
      <c r="M989">
        <v>28</v>
      </c>
      <c r="N989">
        <v>1</v>
      </c>
      <c r="O989">
        <v>0</v>
      </c>
      <c r="P989">
        <v>1</v>
      </c>
      <c r="Q989" t="s">
        <v>7</v>
      </c>
    </row>
    <row r="990" spans="1:22">
      <c r="A990" t="s">
        <v>1021</v>
      </c>
      <c r="B990" t="s">
        <v>968</v>
      </c>
      <c r="C990">
        <v>1.9E-2</v>
      </c>
      <c r="D990" t="s">
        <v>765</v>
      </c>
      <c r="E990" t="s">
        <v>965</v>
      </c>
      <c r="F990" t="s">
        <v>1072</v>
      </c>
      <c r="G990" t="s">
        <v>968</v>
      </c>
      <c r="H990">
        <v>7.7690000000000001</v>
      </c>
      <c r="K990">
        <v>108436439</v>
      </c>
      <c r="L990" s="2">
        <v>46054</v>
      </c>
      <c r="M990">
        <v>28</v>
      </c>
      <c r="N990">
        <v>4</v>
      </c>
      <c r="O990">
        <v>7</v>
      </c>
      <c r="P990">
        <v>1</v>
      </c>
      <c r="Q990" t="s">
        <v>7</v>
      </c>
    </row>
    <row r="991" spans="1:22">
      <c r="A991" t="s">
        <v>1021</v>
      </c>
      <c r="B991" t="s">
        <v>968</v>
      </c>
      <c r="C991">
        <v>1.9E-2</v>
      </c>
      <c r="D991" t="s">
        <v>765</v>
      </c>
      <c r="E991" t="s">
        <v>965</v>
      </c>
      <c r="G991" t="s">
        <v>968</v>
      </c>
      <c r="H991">
        <v>7.7690000000000001</v>
      </c>
      <c r="K991">
        <v>107260671</v>
      </c>
      <c r="L991" s="2">
        <v>44989</v>
      </c>
      <c r="M991">
        <v>21</v>
      </c>
      <c r="N991">
        <v>1</v>
      </c>
      <c r="O991">
        <v>7</v>
      </c>
      <c r="P991">
        <v>2</v>
      </c>
      <c r="Q991" t="s">
        <v>7</v>
      </c>
    </row>
    <row r="992" spans="1:22">
      <c r="A992" t="s">
        <v>1021</v>
      </c>
      <c r="B992" t="s">
        <v>968</v>
      </c>
      <c r="C992">
        <v>2.3E-2</v>
      </c>
      <c r="D992" t="s">
        <v>765</v>
      </c>
      <c r="E992" t="s">
        <v>965</v>
      </c>
      <c r="F992" t="s">
        <v>1072</v>
      </c>
      <c r="G992" t="s">
        <v>968</v>
      </c>
      <c r="H992">
        <v>7.7729999999999997</v>
      </c>
      <c r="K992">
        <v>107424312</v>
      </c>
      <c r="L992" s="2">
        <v>45152</v>
      </c>
      <c r="M992">
        <v>21</v>
      </c>
      <c r="N992">
        <v>1</v>
      </c>
      <c r="O992">
        <v>0</v>
      </c>
      <c r="P992">
        <v>1</v>
      </c>
      <c r="Q992" t="s">
        <v>7</v>
      </c>
    </row>
    <row r="993" spans="1:17">
      <c r="A993" t="s">
        <v>1021</v>
      </c>
      <c r="B993" t="s">
        <v>968</v>
      </c>
      <c r="C993">
        <v>2.5000000000000001E-2</v>
      </c>
      <c r="D993" t="s">
        <v>765</v>
      </c>
      <c r="E993" t="s">
        <v>965</v>
      </c>
      <c r="F993" t="s">
        <v>1072</v>
      </c>
      <c r="G993" t="s">
        <v>968</v>
      </c>
      <c r="H993">
        <v>7.7750000000000004</v>
      </c>
      <c r="K993">
        <v>107276706</v>
      </c>
      <c r="L993" s="2">
        <v>45005</v>
      </c>
      <c r="M993">
        <v>21</v>
      </c>
      <c r="N993">
        <v>1</v>
      </c>
      <c r="O993">
        <v>7</v>
      </c>
      <c r="P993">
        <v>1</v>
      </c>
      <c r="Q993" t="s">
        <v>7</v>
      </c>
    </row>
    <row r="994" spans="1:17">
      <c r="A994" t="s">
        <v>1021</v>
      </c>
      <c r="B994" t="s">
        <v>968</v>
      </c>
      <c r="C994">
        <v>2.5999999999999999E-2</v>
      </c>
      <c r="D994" t="s">
        <v>6</v>
      </c>
      <c r="E994" t="s">
        <v>964</v>
      </c>
      <c r="F994" t="s">
        <v>1072</v>
      </c>
      <c r="G994" t="s">
        <v>968</v>
      </c>
      <c r="H994">
        <v>8.0950000000000006</v>
      </c>
      <c r="K994">
        <v>107521749</v>
      </c>
      <c r="L994" s="2">
        <v>45239</v>
      </c>
      <c r="M994">
        <v>28</v>
      </c>
      <c r="N994">
        <v>1</v>
      </c>
      <c r="O994">
        <v>0</v>
      </c>
      <c r="P994">
        <v>1</v>
      </c>
      <c r="Q994" t="s">
        <v>7</v>
      </c>
    </row>
    <row r="995" spans="1:17">
      <c r="A995" t="s">
        <v>1021</v>
      </c>
      <c r="B995" t="s">
        <v>968</v>
      </c>
      <c r="C995">
        <v>1.2E-2</v>
      </c>
      <c r="D995" t="s">
        <v>6</v>
      </c>
      <c r="E995" t="s">
        <v>964</v>
      </c>
      <c r="F995" t="s">
        <v>1072</v>
      </c>
      <c r="G995" t="s">
        <v>968</v>
      </c>
      <c r="H995">
        <v>8.109</v>
      </c>
      <c r="K995">
        <v>108043216</v>
      </c>
      <c r="L995" s="2">
        <v>45725</v>
      </c>
      <c r="M995">
        <v>28</v>
      </c>
      <c r="N995">
        <v>1</v>
      </c>
      <c r="O995">
        <v>0</v>
      </c>
      <c r="P995">
        <v>4</v>
      </c>
      <c r="Q995" t="s">
        <v>7</v>
      </c>
    </row>
    <row r="996" spans="1:17">
      <c r="A996" t="s">
        <v>1021</v>
      </c>
      <c r="B996" t="s">
        <v>968</v>
      </c>
      <c r="C996">
        <v>0.01</v>
      </c>
      <c r="D996" t="s">
        <v>6</v>
      </c>
      <c r="E996" t="s">
        <v>964</v>
      </c>
      <c r="F996" t="s">
        <v>1072</v>
      </c>
      <c r="G996" t="s">
        <v>968</v>
      </c>
      <c r="H996">
        <v>8.1110000000000007</v>
      </c>
      <c r="K996">
        <v>105806661</v>
      </c>
      <c r="L996" s="2">
        <v>43529</v>
      </c>
      <c r="M996">
        <v>30</v>
      </c>
      <c r="N996">
        <v>1</v>
      </c>
      <c r="O996">
        <v>0</v>
      </c>
      <c r="P996">
        <v>3</v>
      </c>
      <c r="Q996" t="s">
        <v>3</v>
      </c>
    </row>
    <row r="997" spans="1:17">
      <c r="A997" t="s">
        <v>1021</v>
      </c>
      <c r="B997" t="s">
        <v>968</v>
      </c>
      <c r="C997">
        <v>0.01</v>
      </c>
      <c r="D997" t="s">
        <v>6</v>
      </c>
      <c r="E997" t="s">
        <v>964</v>
      </c>
      <c r="F997" t="s">
        <v>965</v>
      </c>
      <c r="G997" t="s">
        <v>968</v>
      </c>
      <c r="H997">
        <v>8.1110000000000007</v>
      </c>
      <c r="K997">
        <v>107353813</v>
      </c>
      <c r="L997" s="2">
        <v>45080</v>
      </c>
      <c r="M997">
        <v>21</v>
      </c>
      <c r="N997">
        <v>1</v>
      </c>
      <c r="O997">
        <v>0</v>
      </c>
      <c r="P997">
        <v>1</v>
      </c>
      <c r="Q997" t="s">
        <v>7</v>
      </c>
    </row>
    <row r="998" spans="1:17">
      <c r="A998" t="s">
        <v>1021</v>
      </c>
      <c r="B998" t="s">
        <v>968</v>
      </c>
      <c r="C998">
        <v>8.9999999999999993E-3</v>
      </c>
      <c r="D998" t="s">
        <v>6</v>
      </c>
      <c r="E998" t="s">
        <v>964</v>
      </c>
      <c r="F998" t="s">
        <v>965</v>
      </c>
      <c r="G998" t="s">
        <v>968</v>
      </c>
      <c r="H998">
        <v>8.1120000000000001</v>
      </c>
      <c r="K998">
        <v>107502134</v>
      </c>
      <c r="L998" s="2">
        <v>45224</v>
      </c>
      <c r="M998">
        <v>21</v>
      </c>
      <c r="N998">
        <v>1</v>
      </c>
      <c r="O998">
        <v>0</v>
      </c>
      <c r="P998">
        <v>1</v>
      </c>
      <c r="Q998" t="s">
        <v>7</v>
      </c>
    </row>
    <row r="999" spans="1:17">
      <c r="A999" t="s">
        <v>1021</v>
      </c>
      <c r="B999" t="s">
        <v>968</v>
      </c>
      <c r="C999">
        <v>8.9999999999999993E-3</v>
      </c>
      <c r="D999" t="s">
        <v>6</v>
      </c>
      <c r="E999" t="s">
        <v>964</v>
      </c>
      <c r="F999" t="s">
        <v>965</v>
      </c>
      <c r="G999" t="s">
        <v>968</v>
      </c>
      <c r="H999">
        <v>8.1120000000000001</v>
      </c>
      <c r="K999">
        <v>107845491</v>
      </c>
      <c r="L999" s="2">
        <v>45546</v>
      </c>
      <c r="M999">
        <v>28</v>
      </c>
      <c r="N999">
        <v>1</v>
      </c>
      <c r="O999">
        <v>0</v>
      </c>
      <c r="P999">
        <v>1</v>
      </c>
      <c r="Q999" t="s">
        <v>7</v>
      </c>
    </row>
    <row r="1000" spans="1:17">
      <c r="A1000" t="s">
        <v>1021</v>
      </c>
      <c r="B1000" t="s">
        <v>968</v>
      </c>
      <c r="C1000">
        <v>8.0000000000000002E-3</v>
      </c>
      <c r="D1000" t="s">
        <v>6</v>
      </c>
      <c r="E1000" t="s">
        <v>964</v>
      </c>
      <c r="F1000" t="s">
        <v>1072</v>
      </c>
      <c r="G1000" t="s">
        <v>968</v>
      </c>
      <c r="H1000">
        <v>8.1129999999999995</v>
      </c>
      <c r="K1000">
        <v>107637697</v>
      </c>
      <c r="L1000" s="2">
        <v>45349</v>
      </c>
      <c r="M1000">
        <v>21</v>
      </c>
      <c r="N1000">
        <v>2</v>
      </c>
      <c r="O1000">
        <v>7</v>
      </c>
      <c r="P1000">
        <v>1</v>
      </c>
      <c r="Q1000" t="s">
        <v>7</v>
      </c>
    </row>
    <row r="1001" spans="1:17">
      <c r="A1001" t="s">
        <v>1021</v>
      </c>
      <c r="B1001" t="s">
        <v>968</v>
      </c>
      <c r="C1001">
        <v>6.0000000000000001E-3</v>
      </c>
      <c r="D1001" t="s">
        <v>762</v>
      </c>
      <c r="E1001" t="s">
        <v>964</v>
      </c>
      <c r="F1001" t="s">
        <v>1072</v>
      </c>
      <c r="G1001" t="s">
        <v>968</v>
      </c>
      <c r="H1001">
        <v>8.1150000000000002</v>
      </c>
      <c r="K1001">
        <v>108295295</v>
      </c>
      <c r="L1001" s="2">
        <v>45966</v>
      </c>
      <c r="M1001">
        <v>28</v>
      </c>
      <c r="N1001">
        <v>1</v>
      </c>
      <c r="O1001">
        <v>12</v>
      </c>
      <c r="P1001">
        <v>1</v>
      </c>
      <c r="Q1001" t="s">
        <v>7</v>
      </c>
    </row>
    <row r="1002" spans="1:17">
      <c r="A1002" t="s">
        <v>1021</v>
      </c>
      <c r="B1002" t="s">
        <v>1080</v>
      </c>
      <c r="C1002">
        <v>4.0000000000000001E-3</v>
      </c>
      <c r="D1002" t="s">
        <v>762</v>
      </c>
      <c r="E1002" t="s">
        <v>964</v>
      </c>
      <c r="F1002" t="s">
        <v>1072</v>
      </c>
      <c r="G1002" t="s">
        <v>968</v>
      </c>
      <c r="H1002">
        <v>8.1170000000000009</v>
      </c>
      <c r="K1002">
        <v>106984104</v>
      </c>
      <c r="L1002" s="2">
        <v>44724</v>
      </c>
      <c r="M1002">
        <v>17</v>
      </c>
      <c r="N1002">
        <v>1</v>
      </c>
      <c r="O1002">
        <v>0</v>
      </c>
      <c r="P1002">
        <v>5</v>
      </c>
      <c r="Q1002" t="s">
        <v>7</v>
      </c>
    </row>
    <row r="1003" spans="1:17">
      <c r="A1003" t="s">
        <v>1021</v>
      </c>
      <c r="B1003" t="s">
        <v>968</v>
      </c>
      <c r="C1003">
        <v>0</v>
      </c>
      <c r="D1003" t="s">
        <v>758</v>
      </c>
      <c r="E1003" t="s">
        <v>964</v>
      </c>
      <c r="F1003" t="s">
        <v>985</v>
      </c>
      <c r="G1003" t="s">
        <v>968</v>
      </c>
      <c r="H1003">
        <v>8.1210000000000004</v>
      </c>
      <c r="K1003">
        <v>108392352</v>
      </c>
      <c r="L1003" s="2">
        <v>46058</v>
      </c>
      <c r="M1003">
        <v>17</v>
      </c>
      <c r="N1003">
        <v>1</v>
      </c>
      <c r="O1003">
        <v>8</v>
      </c>
      <c r="P1003">
        <v>4</v>
      </c>
      <c r="Q1003" t="s">
        <v>7</v>
      </c>
    </row>
    <row r="1004" spans="1:17">
      <c r="A1004" t="s">
        <v>1021</v>
      </c>
      <c r="B1004" t="s">
        <v>968</v>
      </c>
      <c r="C1004">
        <v>0</v>
      </c>
      <c r="E1004" t="s">
        <v>964</v>
      </c>
      <c r="F1004" t="s">
        <v>985</v>
      </c>
      <c r="G1004" t="s">
        <v>968</v>
      </c>
      <c r="H1004">
        <v>8.1210000000000004</v>
      </c>
      <c r="K1004">
        <v>108155197</v>
      </c>
      <c r="L1004" s="2">
        <v>45835</v>
      </c>
      <c r="M1004">
        <v>21</v>
      </c>
      <c r="N1004">
        <v>2</v>
      </c>
      <c r="O1004">
        <v>7</v>
      </c>
      <c r="P1004">
        <v>1</v>
      </c>
      <c r="Q1004" t="s">
        <v>7</v>
      </c>
    </row>
    <row r="1005" spans="1:17">
      <c r="A1005" t="s">
        <v>1021</v>
      </c>
      <c r="B1005" t="s">
        <v>968</v>
      </c>
      <c r="C1005">
        <v>0</v>
      </c>
      <c r="E1005" t="s">
        <v>964</v>
      </c>
      <c r="F1005" t="s">
        <v>985</v>
      </c>
      <c r="G1005" t="s">
        <v>968</v>
      </c>
      <c r="H1005">
        <v>8.1210000000000004</v>
      </c>
      <c r="K1005">
        <v>108033754</v>
      </c>
      <c r="L1005" s="2">
        <v>45716</v>
      </c>
      <c r="M1005">
        <v>30</v>
      </c>
      <c r="N1005">
        <v>1</v>
      </c>
      <c r="O1005">
        <v>7</v>
      </c>
      <c r="P1005">
        <v>1</v>
      </c>
      <c r="Q1005" t="s">
        <v>3</v>
      </c>
    </row>
    <row r="1006" spans="1:17">
      <c r="A1006" t="s">
        <v>1021</v>
      </c>
      <c r="B1006" t="s">
        <v>968</v>
      </c>
      <c r="C1006">
        <v>0</v>
      </c>
      <c r="E1006" t="s">
        <v>964</v>
      </c>
      <c r="F1006" t="s">
        <v>1134</v>
      </c>
      <c r="G1006" t="s">
        <v>968</v>
      </c>
      <c r="H1006">
        <v>8.1210000000000004</v>
      </c>
      <c r="K1006">
        <v>106801984</v>
      </c>
      <c r="L1006" s="2">
        <v>44323</v>
      </c>
      <c r="M1006">
        <v>21</v>
      </c>
      <c r="N1006">
        <v>2</v>
      </c>
      <c r="O1006">
        <v>7</v>
      </c>
      <c r="P1006">
        <v>1</v>
      </c>
      <c r="Q1006" t="s">
        <v>3</v>
      </c>
    </row>
    <row r="1007" spans="1:17">
      <c r="A1007" t="s">
        <v>1021</v>
      </c>
      <c r="B1007" t="s">
        <v>968</v>
      </c>
      <c r="C1007">
        <v>0</v>
      </c>
      <c r="E1007" t="s">
        <v>964</v>
      </c>
      <c r="F1007" t="s">
        <v>1085</v>
      </c>
      <c r="G1007" t="s">
        <v>968</v>
      </c>
      <c r="H1007">
        <v>8.1210000000000004</v>
      </c>
      <c r="K1007">
        <v>108203575</v>
      </c>
      <c r="L1007" s="2">
        <v>45886</v>
      </c>
      <c r="M1007">
        <v>21</v>
      </c>
      <c r="N1007">
        <v>1</v>
      </c>
      <c r="O1007">
        <v>7</v>
      </c>
      <c r="P1007">
        <v>1</v>
      </c>
      <c r="Q1007" t="s">
        <v>7</v>
      </c>
    </row>
    <row r="1008" spans="1:17">
      <c r="A1008" t="s">
        <v>1021</v>
      </c>
      <c r="B1008" t="s">
        <v>968</v>
      </c>
      <c r="C1008">
        <v>0</v>
      </c>
      <c r="D1008" t="s">
        <v>757</v>
      </c>
      <c r="E1008" t="s">
        <v>964</v>
      </c>
      <c r="F1008" t="s">
        <v>1072</v>
      </c>
      <c r="G1008" t="s">
        <v>968</v>
      </c>
      <c r="H1008">
        <v>8.1210000000000004</v>
      </c>
      <c r="K1008">
        <v>105186074</v>
      </c>
      <c r="L1008" s="2">
        <v>42944</v>
      </c>
      <c r="M1008">
        <v>21</v>
      </c>
      <c r="N1008">
        <v>1</v>
      </c>
      <c r="O1008">
        <v>0</v>
      </c>
      <c r="P1008">
        <v>1</v>
      </c>
      <c r="Q1008" t="s">
        <v>7</v>
      </c>
    </row>
    <row r="1009" spans="1:17">
      <c r="A1009" t="s">
        <v>1021</v>
      </c>
      <c r="B1009" t="s">
        <v>968</v>
      </c>
      <c r="C1009">
        <v>0</v>
      </c>
      <c r="E1009" t="s">
        <v>964</v>
      </c>
      <c r="F1009" t="s">
        <v>1072</v>
      </c>
      <c r="G1009" t="s">
        <v>968</v>
      </c>
      <c r="H1009">
        <v>8.1210000000000004</v>
      </c>
      <c r="K1009">
        <v>105028152</v>
      </c>
      <c r="L1009" s="2">
        <v>42769</v>
      </c>
      <c r="M1009">
        <v>21</v>
      </c>
      <c r="N1009">
        <v>1</v>
      </c>
      <c r="O1009">
        <v>7</v>
      </c>
      <c r="P1009">
        <v>1</v>
      </c>
      <c r="Q1009" t="s">
        <v>7</v>
      </c>
    </row>
    <row r="1010" spans="1:17">
      <c r="A1010" t="s">
        <v>1021</v>
      </c>
      <c r="B1010" t="s">
        <v>968</v>
      </c>
      <c r="C1010">
        <v>0</v>
      </c>
      <c r="E1010" t="s">
        <v>964</v>
      </c>
      <c r="F1010" t="s">
        <v>1072</v>
      </c>
      <c r="G1010" t="s">
        <v>968</v>
      </c>
      <c r="H1010">
        <v>8.1210000000000004</v>
      </c>
      <c r="K1010">
        <v>107149990</v>
      </c>
      <c r="L1010" s="2">
        <v>44864</v>
      </c>
      <c r="M1010">
        <v>21</v>
      </c>
      <c r="N1010">
        <v>1</v>
      </c>
      <c r="O1010">
        <v>7</v>
      </c>
      <c r="P1010">
        <v>5</v>
      </c>
      <c r="Q1010" t="s">
        <v>3</v>
      </c>
    </row>
    <row r="1011" spans="1:17">
      <c r="A1011" t="s">
        <v>1021</v>
      </c>
      <c r="B1011" t="s">
        <v>968</v>
      </c>
      <c r="C1011">
        <v>0</v>
      </c>
      <c r="E1011" t="s">
        <v>964</v>
      </c>
      <c r="F1011" t="s">
        <v>1072</v>
      </c>
      <c r="G1011" t="s">
        <v>968</v>
      </c>
      <c r="H1011">
        <v>8.1210000000000004</v>
      </c>
      <c r="K1011">
        <v>105445138</v>
      </c>
      <c r="L1011" s="2">
        <v>43172</v>
      </c>
      <c r="M1011">
        <v>30</v>
      </c>
      <c r="N1011">
        <v>1</v>
      </c>
      <c r="O1011">
        <v>7</v>
      </c>
      <c r="P1011">
        <v>1</v>
      </c>
      <c r="Q1011" t="s">
        <v>7</v>
      </c>
    </row>
    <row r="1012" spans="1:17">
      <c r="A1012" t="s">
        <v>1021</v>
      </c>
      <c r="B1012" t="s">
        <v>968</v>
      </c>
      <c r="C1012">
        <v>0</v>
      </c>
      <c r="D1012" t="s">
        <v>762</v>
      </c>
      <c r="E1012" t="s">
        <v>964</v>
      </c>
      <c r="F1012" t="s">
        <v>1072</v>
      </c>
      <c r="G1012" t="s">
        <v>968</v>
      </c>
      <c r="H1012">
        <v>8.1210000000000004</v>
      </c>
      <c r="K1012">
        <v>108568665</v>
      </c>
      <c r="L1012" s="2">
        <v>46226</v>
      </c>
      <c r="M1012">
        <v>30</v>
      </c>
      <c r="N1012">
        <v>2</v>
      </c>
      <c r="O1012">
        <v>12</v>
      </c>
      <c r="P1012">
        <v>1</v>
      </c>
      <c r="Q1012" t="s">
        <v>7</v>
      </c>
    </row>
    <row r="1013" spans="1:17">
      <c r="A1013" t="s">
        <v>1021</v>
      </c>
      <c r="B1013" t="s">
        <v>968</v>
      </c>
      <c r="C1013">
        <v>0</v>
      </c>
      <c r="E1013" t="s">
        <v>964</v>
      </c>
      <c r="F1013" t="s">
        <v>1023</v>
      </c>
      <c r="G1013" t="s">
        <v>968</v>
      </c>
      <c r="H1013">
        <v>8.1210000000000004</v>
      </c>
      <c r="K1013">
        <v>105445136</v>
      </c>
      <c r="L1013" s="2">
        <v>43172</v>
      </c>
      <c r="M1013">
        <v>21</v>
      </c>
      <c r="N1013">
        <v>1</v>
      </c>
      <c r="O1013">
        <v>7</v>
      </c>
      <c r="P1013">
        <v>4</v>
      </c>
      <c r="Q1013" t="s">
        <v>7</v>
      </c>
    </row>
    <row r="1014" spans="1:17">
      <c r="A1014" t="s">
        <v>1021</v>
      </c>
      <c r="B1014" t="s">
        <v>968</v>
      </c>
      <c r="C1014">
        <v>0</v>
      </c>
      <c r="D1014" t="s">
        <v>758</v>
      </c>
      <c r="E1014" t="s">
        <v>964</v>
      </c>
      <c r="F1014" t="s">
        <v>1045</v>
      </c>
      <c r="G1014" t="s">
        <v>968</v>
      </c>
      <c r="H1014">
        <v>8.1210000000000004</v>
      </c>
      <c r="K1014">
        <v>107270739</v>
      </c>
      <c r="L1014" s="2">
        <v>44998</v>
      </c>
      <c r="M1014">
        <v>21</v>
      </c>
      <c r="N1014">
        <v>2</v>
      </c>
      <c r="O1014">
        <v>0</v>
      </c>
      <c r="P1014">
        <v>1</v>
      </c>
      <c r="Q1014" t="s">
        <v>7</v>
      </c>
    </row>
    <row r="1015" spans="1:17">
      <c r="A1015" t="s">
        <v>1021</v>
      </c>
      <c r="B1015" t="s">
        <v>968</v>
      </c>
      <c r="C1015">
        <v>0</v>
      </c>
      <c r="E1015" t="s">
        <v>964</v>
      </c>
      <c r="F1015" t="s">
        <v>1045</v>
      </c>
      <c r="G1015" t="s">
        <v>968</v>
      </c>
      <c r="H1015">
        <v>8.1210000000000004</v>
      </c>
      <c r="K1015">
        <v>106001236</v>
      </c>
      <c r="L1015" s="2">
        <v>43714</v>
      </c>
      <c r="M1015">
        <v>21</v>
      </c>
      <c r="N1015">
        <v>1</v>
      </c>
      <c r="O1015">
        <v>7</v>
      </c>
      <c r="P1015">
        <v>5</v>
      </c>
      <c r="Q1015" t="s">
        <v>7</v>
      </c>
    </row>
    <row r="1016" spans="1:17">
      <c r="A1016" t="s">
        <v>1021</v>
      </c>
      <c r="B1016" t="s">
        <v>968</v>
      </c>
      <c r="C1016">
        <v>0</v>
      </c>
      <c r="E1016" t="s">
        <v>964</v>
      </c>
      <c r="F1016" t="s">
        <v>1045</v>
      </c>
      <c r="G1016" t="s">
        <v>968</v>
      </c>
      <c r="H1016">
        <v>8.1210000000000004</v>
      </c>
      <c r="K1016">
        <v>107149987</v>
      </c>
      <c r="L1016" s="2">
        <v>44863</v>
      </c>
      <c r="M1016">
        <v>24</v>
      </c>
      <c r="N1016">
        <v>1</v>
      </c>
      <c r="O1016">
        <v>7</v>
      </c>
      <c r="P1016">
        <v>2</v>
      </c>
      <c r="Q1016" t="s">
        <v>3</v>
      </c>
    </row>
    <row r="1017" spans="1:17">
      <c r="A1017" t="s">
        <v>1021</v>
      </c>
      <c r="B1017" t="s">
        <v>968</v>
      </c>
      <c r="C1017">
        <v>0</v>
      </c>
      <c r="E1017" t="s">
        <v>964</v>
      </c>
      <c r="F1017" t="s">
        <v>1045</v>
      </c>
      <c r="G1017" t="s">
        <v>968</v>
      </c>
      <c r="H1017">
        <v>8.1210000000000004</v>
      </c>
      <c r="K1017">
        <v>106159982</v>
      </c>
      <c r="L1017" s="2">
        <v>43811</v>
      </c>
      <c r="M1017">
        <v>30</v>
      </c>
      <c r="N1017">
        <v>1</v>
      </c>
      <c r="O1017">
        <v>7</v>
      </c>
      <c r="P1017">
        <v>1</v>
      </c>
      <c r="Q1017" t="s">
        <v>3</v>
      </c>
    </row>
    <row r="1018" spans="1:17">
      <c r="A1018" t="s">
        <v>1021</v>
      </c>
      <c r="B1018" t="s">
        <v>968</v>
      </c>
      <c r="C1018">
        <v>0</v>
      </c>
      <c r="E1018" t="s">
        <v>964</v>
      </c>
      <c r="F1018" t="s">
        <v>965</v>
      </c>
      <c r="G1018" t="s">
        <v>968</v>
      </c>
      <c r="H1018">
        <v>8.1210000000000004</v>
      </c>
      <c r="K1018">
        <v>105682129</v>
      </c>
      <c r="L1018" s="2">
        <v>43410</v>
      </c>
      <c r="M1018">
        <v>21</v>
      </c>
      <c r="N1018">
        <v>2</v>
      </c>
      <c r="O1018">
        <v>7</v>
      </c>
      <c r="P1018">
        <v>1</v>
      </c>
      <c r="Q1018" t="s">
        <v>7</v>
      </c>
    </row>
    <row r="1019" spans="1:17">
      <c r="A1019" t="s">
        <v>1021</v>
      </c>
      <c r="B1019" t="s">
        <v>968</v>
      </c>
      <c r="C1019">
        <v>0</v>
      </c>
      <c r="E1019" t="s">
        <v>964</v>
      </c>
      <c r="F1019" t="s">
        <v>969</v>
      </c>
      <c r="G1019" t="s">
        <v>968</v>
      </c>
      <c r="H1019">
        <v>8.1210000000000004</v>
      </c>
      <c r="K1019">
        <v>106187057</v>
      </c>
      <c r="L1019" s="2">
        <v>43857</v>
      </c>
      <c r="M1019">
        <v>30</v>
      </c>
      <c r="N1019">
        <v>1</v>
      </c>
      <c r="O1019">
        <v>7</v>
      </c>
      <c r="P1019">
        <v>1</v>
      </c>
      <c r="Q1019" t="s">
        <v>8</v>
      </c>
    </row>
    <row r="1020" spans="1:17">
      <c r="A1020" t="s">
        <v>1021</v>
      </c>
      <c r="B1020" t="s">
        <v>968</v>
      </c>
      <c r="C1020">
        <v>0</v>
      </c>
      <c r="E1020" t="s">
        <v>964</v>
      </c>
      <c r="F1020" t="s">
        <v>1110</v>
      </c>
      <c r="G1020" t="s">
        <v>968</v>
      </c>
      <c r="H1020">
        <v>8.1210000000000004</v>
      </c>
      <c r="K1020">
        <v>105881694</v>
      </c>
      <c r="L1020" s="2">
        <v>43586</v>
      </c>
      <c r="M1020">
        <v>21</v>
      </c>
      <c r="N1020">
        <v>1</v>
      </c>
      <c r="O1020">
        <v>7</v>
      </c>
      <c r="P1020">
        <v>1</v>
      </c>
      <c r="Q1020" t="s">
        <v>7</v>
      </c>
    </row>
    <row r="1021" spans="1:17">
      <c r="A1021" t="s">
        <v>1021</v>
      </c>
      <c r="B1021" t="s">
        <v>968</v>
      </c>
      <c r="C1021">
        <v>0</v>
      </c>
      <c r="E1021" t="s">
        <v>964</v>
      </c>
      <c r="G1021" t="s">
        <v>968</v>
      </c>
      <c r="H1021">
        <v>8.1210000000000004</v>
      </c>
      <c r="K1021">
        <v>107149988</v>
      </c>
      <c r="L1021" s="2">
        <v>44862</v>
      </c>
      <c r="M1021">
        <v>21</v>
      </c>
      <c r="N1021">
        <v>1</v>
      </c>
      <c r="O1021">
        <v>7</v>
      </c>
      <c r="P1021">
        <v>1</v>
      </c>
      <c r="Q1021" t="s">
        <v>7</v>
      </c>
    </row>
    <row r="1022" spans="1:17">
      <c r="A1022" t="s">
        <v>1021</v>
      </c>
      <c r="B1022" t="s">
        <v>968</v>
      </c>
      <c r="C1022">
        <v>0</v>
      </c>
      <c r="E1022" t="s">
        <v>964</v>
      </c>
      <c r="G1022" t="s">
        <v>968</v>
      </c>
      <c r="H1022">
        <v>8.1210000000000004</v>
      </c>
      <c r="K1022">
        <v>107513749</v>
      </c>
      <c r="L1022" s="2">
        <v>45233</v>
      </c>
      <c r="M1022">
        <v>30</v>
      </c>
      <c r="N1022">
        <v>1</v>
      </c>
      <c r="O1022">
        <v>7</v>
      </c>
      <c r="P1022">
        <v>3</v>
      </c>
      <c r="Q1022" t="s">
        <v>3</v>
      </c>
    </row>
    <row r="1023" spans="1:17">
      <c r="A1023" t="s">
        <v>1021</v>
      </c>
      <c r="B1023" t="s">
        <v>1080</v>
      </c>
      <c r="C1023">
        <v>0</v>
      </c>
      <c r="E1023" t="s">
        <v>964</v>
      </c>
      <c r="F1023" t="s">
        <v>985</v>
      </c>
      <c r="G1023" t="s">
        <v>968</v>
      </c>
      <c r="H1023">
        <v>8.1210000000000004</v>
      </c>
      <c r="K1023">
        <v>107061166</v>
      </c>
      <c r="L1023" s="2">
        <v>44802</v>
      </c>
      <c r="M1023">
        <v>28</v>
      </c>
      <c r="N1023">
        <v>1</v>
      </c>
      <c r="O1023">
        <v>7</v>
      </c>
      <c r="P1023">
        <v>1</v>
      </c>
      <c r="Q1023" t="s">
        <v>7</v>
      </c>
    </row>
    <row r="1024" spans="1:17">
      <c r="A1024" t="s">
        <v>1021</v>
      </c>
      <c r="B1024" t="s">
        <v>1080</v>
      </c>
      <c r="C1024">
        <v>0</v>
      </c>
      <c r="D1024" t="s">
        <v>758</v>
      </c>
      <c r="E1024" t="s">
        <v>964</v>
      </c>
      <c r="F1024" t="s">
        <v>965</v>
      </c>
      <c r="G1024" t="s">
        <v>968</v>
      </c>
      <c r="H1024">
        <v>8.1210000000000004</v>
      </c>
      <c r="K1024">
        <v>106801983</v>
      </c>
      <c r="L1024" s="2">
        <v>44322</v>
      </c>
      <c r="M1024">
        <v>19</v>
      </c>
      <c r="N1024">
        <v>1</v>
      </c>
      <c r="O1024">
        <v>7</v>
      </c>
      <c r="P1024">
        <v>1</v>
      </c>
      <c r="Q1024" t="s">
        <v>7</v>
      </c>
    </row>
    <row r="1025" spans="1:22">
      <c r="A1025" t="s">
        <v>1021</v>
      </c>
      <c r="B1025" t="s">
        <v>968</v>
      </c>
      <c r="C1025">
        <v>2E-3</v>
      </c>
      <c r="D1025" t="s">
        <v>757</v>
      </c>
      <c r="E1025" t="s">
        <v>964</v>
      </c>
      <c r="F1025" t="s">
        <v>985</v>
      </c>
      <c r="G1025" t="s">
        <v>968</v>
      </c>
      <c r="H1025">
        <v>8.1229999999999993</v>
      </c>
      <c r="K1025">
        <v>107247149</v>
      </c>
      <c r="L1025" s="2">
        <v>44973</v>
      </c>
      <c r="M1025">
        <v>21</v>
      </c>
      <c r="N1025">
        <v>1</v>
      </c>
      <c r="O1025">
        <v>7</v>
      </c>
      <c r="P1025">
        <v>1</v>
      </c>
      <c r="Q1025" t="s">
        <v>3</v>
      </c>
    </row>
    <row r="1026" spans="1:22">
      <c r="A1026" t="s">
        <v>1021</v>
      </c>
      <c r="B1026" t="s">
        <v>968</v>
      </c>
      <c r="C1026">
        <v>3.0000000000000001E-3</v>
      </c>
      <c r="D1026" t="s">
        <v>757</v>
      </c>
      <c r="E1026" t="s">
        <v>964</v>
      </c>
      <c r="F1026" t="s">
        <v>985</v>
      </c>
      <c r="G1026" t="s">
        <v>968</v>
      </c>
      <c r="H1026">
        <v>8.1240000000000006</v>
      </c>
      <c r="K1026">
        <v>108213433</v>
      </c>
      <c r="L1026" s="2">
        <v>45894</v>
      </c>
      <c r="M1026">
        <v>21</v>
      </c>
      <c r="N1026">
        <v>1</v>
      </c>
      <c r="O1026">
        <v>0</v>
      </c>
      <c r="P1026">
        <v>1</v>
      </c>
      <c r="Q1026" t="s">
        <v>7</v>
      </c>
    </row>
    <row r="1027" spans="1:22">
      <c r="A1027" t="s">
        <v>1021</v>
      </c>
      <c r="B1027" t="s">
        <v>968</v>
      </c>
      <c r="C1027">
        <v>5.0000000000000001E-3</v>
      </c>
      <c r="D1027" t="s">
        <v>758</v>
      </c>
      <c r="E1027" t="s">
        <v>964</v>
      </c>
      <c r="F1027" t="s">
        <v>985</v>
      </c>
      <c r="G1027" t="s">
        <v>968</v>
      </c>
      <c r="H1027">
        <v>8.1259999999999994</v>
      </c>
      <c r="K1027">
        <v>107080890</v>
      </c>
      <c r="L1027" s="2">
        <v>44820</v>
      </c>
      <c r="M1027">
        <v>21</v>
      </c>
      <c r="N1027">
        <v>1</v>
      </c>
      <c r="O1027">
        <v>0</v>
      </c>
      <c r="P1027">
        <v>1</v>
      </c>
      <c r="Q1027" t="s">
        <v>7</v>
      </c>
    </row>
    <row r="1028" spans="1:22">
      <c r="A1028" t="s">
        <v>1021</v>
      </c>
      <c r="B1028" t="s">
        <v>968</v>
      </c>
      <c r="C1028">
        <v>8.0000000000000002E-3</v>
      </c>
      <c r="D1028" t="s">
        <v>765</v>
      </c>
      <c r="E1028" t="s">
        <v>964</v>
      </c>
      <c r="F1028" t="s">
        <v>985</v>
      </c>
      <c r="G1028" t="s">
        <v>968</v>
      </c>
      <c r="H1028">
        <v>8.1289999999999996</v>
      </c>
      <c r="K1028">
        <v>108522615</v>
      </c>
      <c r="L1028" s="2">
        <v>46181</v>
      </c>
      <c r="M1028">
        <v>21</v>
      </c>
      <c r="N1028">
        <v>1</v>
      </c>
      <c r="O1028">
        <v>7</v>
      </c>
      <c r="P1028">
        <v>1</v>
      </c>
      <c r="Q1028" t="s">
        <v>3</v>
      </c>
    </row>
    <row r="1029" spans="1:22">
      <c r="A1029" t="s">
        <v>1021</v>
      </c>
      <c r="B1029" t="s">
        <v>968</v>
      </c>
      <c r="C1029">
        <v>8.0000000000000002E-3</v>
      </c>
      <c r="D1029" t="s">
        <v>765</v>
      </c>
      <c r="E1029" t="s">
        <v>964</v>
      </c>
      <c r="F1029" t="s">
        <v>1006</v>
      </c>
      <c r="G1029" t="s">
        <v>968</v>
      </c>
      <c r="H1029">
        <v>8.1289999999999996</v>
      </c>
      <c r="K1029">
        <v>108380334</v>
      </c>
      <c r="L1029" s="2">
        <v>46045</v>
      </c>
      <c r="M1029">
        <v>21</v>
      </c>
      <c r="N1029">
        <v>2</v>
      </c>
      <c r="O1029">
        <v>7</v>
      </c>
      <c r="P1029">
        <v>1</v>
      </c>
      <c r="Q1029" t="s">
        <v>7</v>
      </c>
    </row>
    <row r="1030" spans="1:22">
      <c r="A1030" t="s">
        <v>1021</v>
      </c>
      <c r="B1030" t="s">
        <v>968</v>
      </c>
      <c r="C1030">
        <v>8.9999999999999993E-3</v>
      </c>
      <c r="D1030" t="s">
        <v>757</v>
      </c>
      <c r="E1030" t="s">
        <v>964</v>
      </c>
      <c r="F1030" t="s">
        <v>965</v>
      </c>
      <c r="G1030" t="s">
        <v>968</v>
      </c>
      <c r="H1030">
        <v>8.1300000000000008</v>
      </c>
      <c r="K1030">
        <v>106125012</v>
      </c>
      <c r="L1030" s="2">
        <v>43807</v>
      </c>
      <c r="M1030">
        <v>17</v>
      </c>
      <c r="N1030">
        <v>1</v>
      </c>
      <c r="O1030">
        <v>0</v>
      </c>
      <c r="P1030">
        <v>5</v>
      </c>
      <c r="Q1030" t="s">
        <v>7</v>
      </c>
    </row>
    <row r="1031" spans="1:22">
      <c r="A1031" t="s">
        <v>1021</v>
      </c>
      <c r="B1031" t="s">
        <v>968</v>
      </c>
      <c r="C1031">
        <v>8.9999999999999993E-3</v>
      </c>
      <c r="D1031" t="s">
        <v>757</v>
      </c>
      <c r="E1031" t="s">
        <v>964</v>
      </c>
      <c r="F1031" t="s">
        <v>964</v>
      </c>
      <c r="G1031" t="s">
        <v>968</v>
      </c>
      <c r="H1031">
        <v>8.1300000000000008</v>
      </c>
      <c r="K1031">
        <v>108513240</v>
      </c>
      <c r="L1031" s="2">
        <v>46171</v>
      </c>
      <c r="M1031">
        <v>21</v>
      </c>
      <c r="N1031">
        <v>1</v>
      </c>
      <c r="O1031">
        <v>12</v>
      </c>
      <c r="P1031">
        <v>1</v>
      </c>
      <c r="Q1031" t="s">
        <v>7</v>
      </c>
    </row>
    <row r="1032" spans="1:22">
      <c r="A1032" t="s">
        <v>1021</v>
      </c>
      <c r="B1032" t="s">
        <v>968</v>
      </c>
      <c r="C1032">
        <v>0.01</v>
      </c>
      <c r="D1032" t="s">
        <v>757</v>
      </c>
      <c r="E1032" t="s">
        <v>960</v>
      </c>
      <c r="F1032" t="s">
        <v>962</v>
      </c>
      <c r="G1032" t="s">
        <v>968</v>
      </c>
      <c r="H1032">
        <v>8.1310000000000002</v>
      </c>
      <c r="K1032">
        <v>107958664</v>
      </c>
      <c r="L1032" s="2">
        <v>45637</v>
      </c>
      <c r="M1032">
        <v>21</v>
      </c>
      <c r="N1032">
        <v>1</v>
      </c>
      <c r="O1032">
        <v>0</v>
      </c>
      <c r="P1032">
        <v>1</v>
      </c>
      <c r="Q1032" t="s">
        <v>7</v>
      </c>
      <c r="R1032">
        <v>35.1813</v>
      </c>
      <c r="S1032">
        <v>-79.436099999999996</v>
      </c>
      <c r="T1032" t="s">
        <v>761</v>
      </c>
      <c r="U1032" t="s">
        <v>367</v>
      </c>
      <c r="V1032">
        <v>0.50749999999999995</v>
      </c>
    </row>
    <row r="1033" spans="1:22">
      <c r="A1033" t="s">
        <v>1021</v>
      </c>
      <c r="B1033" t="s">
        <v>968</v>
      </c>
      <c r="C1033">
        <v>1.2E-2</v>
      </c>
      <c r="D1033" t="s">
        <v>757</v>
      </c>
      <c r="E1033" t="s">
        <v>964</v>
      </c>
      <c r="F1033" t="s">
        <v>1045</v>
      </c>
      <c r="G1033" t="s">
        <v>968</v>
      </c>
      <c r="H1033">
        <v>8.1329999999999991</v>
      </c>
      <c r="K1033">
        <v>105894351</v>
      </c>
      <c r="L1033" s="2">
        <v>43600</v>
      </c>
      <c r="M1033">
        <v>21</v>
      </c>
      <c r="N1033">
        <v>1</v>
      </c>
      <c r="O1033">
        <v>7</v>
      </c>
      <c r="P1033">
        <v>1</v>
      </c>
      <c r="Q1033" t="s">
        <v>3</v>
      </c>
    </row>
    <row r="1034" spans="1:22">
      <c r="A1034" t="s">
        <v>1021</v>
      </c>
      <c r="B1034" t="s">
        <v>968</v>
      </c>
      <c r="C1034">
        <v>1.4E-2</v>
      </c>
      <c r="D1034" t="s">
        <v>757</v>
      </c>
      <c r="E1034" t="s">
        <v>964</v>
      </c>
      <c r="F1034" t="s">
        <v>985</v>
      </c>
      <c r="G1034" t="s">
        <v>968</v>
      </c>
      <c r="H1034">
        <v>8.1349999999999998</v>
      </c>
      <c r="K1034">
        <v>107345539</v>
      </c>
      <c r="L1034" s="2">
        <v>45072</v>
      </c>
      <c r="M1034">
        <v>21</v>
      </c>
      <c r="N1034">
        <v>1</v>
      </c>
      <c r="O1034">
        <v>0</v>
      </c>
      <c r="P1034">
        <v>1</v>
      </c>
      <c r="Q1034" t="s">
        <v>7</v>
      </c>
    </row>
    <row r="1035" spans="1:22">
      <c r="A1035" t="s">
        <v>1021</v>
      </c>
      <c r="B1035" t="s">
        <v>968</v>
      </c>
      <c r="C1035">
        <v>1.4E-2</v>
      </c>
      <c r="D1035" t="s">
        <v>757</v>
      </c>
      <c r="E1035" t="s">
        <v>964</v>
      </c>
      <c r="F1035" t="s">
        <v>965</v>
      </c>
      <c r="G1035" t="s">
        <v>968</v>
      </c>
      <c r="H1035">
        <v>8.1349999999999998</v>
      </c>
      <c r="K1035">
        <v>107637713</v>
      </c>
      <c r="L1035" s="2">
        <v>45350</v>
      </c>
      <c r="M1035">
        <v>21</v>
      </c>
      <c r="N1035">
        <v>1</v>
      </c>
      <c r="O1035">
        <v>7</v>
      </c>
      <c r="P1035">
        <v>1</v>
      </c>
      <c r="Q1035" t="s">
        <v>7</v>
      </c>
    </row>
    <row r="1036" spans="1:22">
      <c r="A1036" t="s">
        <v>1021</v>
      </c>
      <c r="B1036" t="s">
        <v>968</v>
      </c>
      <c r="C1036">
        <v>1.9E-2</v>
      </c>
      <c r="D1036" t="s">
        <v>765</v>
      </c>
      <c r="E1036" t="s">
        <v>964</v>
      </c>
      <c r="F1036" t="s">
        <v>965</v>
      </c>
      <c r="G1036" t="s">
        <v>968</v>
      </c>
      <c r="H1036">
        <v>8.14</v>
      </c>
      <c r="K1036">
        <v>108287186</v>
      </c>
      <c r="L1036" s="2">
        <v>45961</v>
      </c>
      <c r="M1036">
        <v>17</v>
      </c>
      <c r="N1036">
        <v>1</v>
      </c>
      <c r="O1036">
        <v>0</v>
      </c>
      <c r="P1036">
        <v>1</v>
      </c>
      <c r="Q1036" t="s">
        <v>7</v>
      </c>
    </row>
    <row r="1037" spans="1:22">
      <c r="A1037" t="s">
        <v>1021</v>
      </c>
      <c r="B1037" t="s">
        <v>968</v>
      </c>
      <c r="C1037">
        <v>2.3E-2</v>
      </c>
      <c r="D1037" t="s">
        <v>757</v>
      </c>
      <c r="E1037" t="s">
        <v>964</v>
      </c>
      <c r="F1037" t="s">
        <v>970</v>
      </c>
      <c r="G1037" t="s">
        <v>968</v>
      </c>
      <c r="H1037">
        <v>8.1440000000000001</v>
      </c>
      <c r="K1037">
        <v>106095514</v>
      </c>
      <c r="L1037" s="2">
        <v>43783</v>
      </c>
      <c r="M1037">
        <v>30</v>
      </c>
      <c r="N1037">
        <v>1</v>
      </c>
      <c r="O1037">
        <v>7</v>
      </c>
      <c r="P1037">
        <v>1</v>
      </c>
      <c r="Q1037" t="s">
        <v>7</v>
      </c>
    </row>
    <row r="1038" spans="1:22">
      <c r="A1038" t="s">
        <v>1021</v>
      </c>
      <c r="B1038" t="s">
        <v>968</v>
      </c>
      <c r="C1038">
        <v>2.5999999999999999E-2</v>
      </c>
      <c r="D1038" t="s">
        <v>765</v>
      </c>
      <c r="E1038" t="s">
        <v>964</v>
      </c>
      <c r="F1038" t="s">
        <v>1072</v>
      </c>
      <c r="G1038" t="s">
        <v>968</v>
      </c>
      <c r="H1038">
        <v>8.1470000000000002</v>
      </c>
      <c r="K1038">
        <v>105091230</v>
      </c>
      <c r="L1038" s="2">
        <v>42849</v>
      </c>
      <c r="M1038">
        <v>21</v>
      </c>
      <c r="N1038">
        <v>2</v>
      </c>
      <c r="O1038">
        <v>7</v>
      </c>
      <c r="P1038">
        <v>1</v>
      </c>
      <c r="Q1038" t="s">
        <v>3</v>
      </c>
    </row>
    <row r="1039" spans="1:22">
      <c r="A1039" t="s">
        <v>1021</v>
      </c>
      <c r="B1039" t="s">
        <v>968</v>
      </c>
      <c r="C1039">
        <v>2.7E-2</v>
      </c>
      <c r="D1039" t="s">
        <v>757</v>
      </c>
      <c r="E1039" t="s">
        <v>964</v>
      </c>
      <c r="F1039" t="s">
        <v>1045</v>
      </c>
      <c r="G1039" t="s">
        <v>968</v>
      </c>
      <c r="H1039">
        <v>8.1479999999999997</v>
      </c>
      <c r="K1039">
        <v>105720586</v>
      </c>
      <c r="L1039" s="2">
        <v>43411</v>
      </c>
      <c r="M1039">
        <v>28</v>
      </c>
      <c r="N1039">
        <v>1</v>
      </c>
      <c r="O1039">
        <v>0</v>
      </c>
      <c r="P1039">
        <v>5</v>
      </c>
      <c r="Q1039" t="s">
        <v>7</v>
      </c>
    </row>
    <row r="1040" spans="1:22">
      <c r="A1040" t="s">
        <v>1021</v>
      </c>
      <c r="B1040" t="s">
        <v>1048</v>
      </c>
      <c r="C1040">
        <v>0</v>
      </c>
      <c r="E1040" t="s">
        <v>964</v>
      </c>
      <c r="F1040" t="s">
        <v>967</v>
      </c>
      <c r="G1040" t="s">
        <v>964</v>
      </c>
      <c r="H1040">
        <v>999.99900000000002</v>
      </c>
      <c r="K1040">
        <v>107108233</v>
      </c>
      <c r="L1040" s="2">
        <v>44846</v>
      </c>
      <c r="M1040">
        <v>21</v>
      </c>
      <c r="N1040">
        <v>1</v>
      </c>
      <c r="O1040">
        <v>8</v>
      </c>
      <c r="P1040">
        <v>1</v>
      </c>
      <c r="Q1040" t="s">
        <v>7</v>
      </c>
    </row>
    <row r="1041" spans="1:28">
      <c r="A1041" t="s">
        <v>1021</v>
      </c>
      <c r="B1041" t="s">
        <v>1048</v>
      </c>
      <c r="C1041">
        <v>0</v>
      </c>
      <c r="D1041" t="s">
        <v>757</v>
      </c>
      <c r="E1041" t="s">
        <v>964</v>
      </c>
      <c r="F1041" t="s">
        <v>1058</v>
      </c>
      <c r="G1041" t="s">
        <v>964</v>
      </c>
      <c r="H1041">
        <v>999.99900000000002</v>
      </c>
      <c r="K1041">
        <v>107893113</v>
      </c>
      <c r="L1041" s="2">
        <v>44855</v>
      </c>
      <c r="M1041">
        <v>19</v>
      </c>
      <c r="N1041">
        <v>1</v>
      </c>
      <c r="O1041">
        <v>0</v>
      </c>
      <c r="P1041">
        <v>6</v>
      </c>
      <c r="Q1041" t="s">
        <v>7</v>
      </c>
    </row>
    <row r="1042" spans="1:28">
      <c r="A1042" t="s">
        <v>1021</v>
      </c>
      <c r="B1042" t="s">
        <v>964</v>
      </c>
      <c r="C1042">
        <v>2.9000000000000001E-2</v>
      </c>
      <c r="D1042" t="s">
        <v>6</v>
      </c>
      <c r="E1042" t="s">
        <v>1058</v>
      </c>
      <c r="F1042" t="s">
        <v>967</v>
      </c>
      <c r="G1042" t="s">
        <v>964</v>
      </c>
      <c r="H1042">
        <v>999.99900000000002</v>
      </c>
      <c r="K1042">
        <v>106849372</v>
      </c>
      <c r="L1042" s="2">
        <v>44594</v>
      </c>
      <c r="M1042">
        <v>28</v>
      </c>
      <c r="N1042">
        <v>1</v>
      </c>
      <c r="O1042">
        <v>0</v>
      </c>
      <c r="P1042">
        <v>1</v>
      </c>
      <c r="Q1042" t="s">
        <v>7</v>
      </c>
    </row>
    <row r="1043" spans="1:28">
      <c r="A1043" t="s">
        <v>1021</v>
      </c>
      <c r="B1043" t="s">
        <v>964</v>
      </c>
      <c r="C1043">
        <v>0</v>
      </c>
      <c r="E1043" t="s">
        <v>1070</v>
      </c>
      <c r="F1043" t="s">
        <v>968</v>
      </c>
      <c r="G1043" t="s">
        <v>964</v>
      </c>
      <c r="H1043">
        <v>999.99900000000002</v>
      </c>
      <c r="K1043">
        <v>105214622</v>
      </c>
      <c r="L1043" s="2">
        <v>42975</v>
      </c>
      <c r="M1043">
        <v>30</v>
      </c>
      <c r="N1043">
        <v>1</v>
      </c>
      <c r="O1043">
        <v>0</v>
      </c>
      <c r="P1043">
        <v>1</v>
      </c>
      <c r="Q1043" t="s">
        <v>7</v>
      </c>
    </row>
    <row r="1044" spans="1:28">
      <c r="A1044" t="s">
        <v>1021</v>
      </c>
      <c r="B1044" t="s">
        <v>964</v>
      </c>
      <c r="C1044">
        <v>0</v>
      </c>
      <c r="E1044" t="s">
        <v>1048</v>
      </c>
      <c r="F1044" t="s">
        <v>967</v>
      </c>
      <c r="G1044" t="s">
        <v>964</v>
      </c>
      <c r="H1044">
        <v>999.99900000000002</v>
      </c>
      <c r="K1044">
        <v>106961664</v>
      </c>
      <c r="L1044" s="2">
        <v>44701</v>
      </c>
      <c r="M1044">
        <v>30</v>
      </c>
      <c r="N1044">
        <v>1</v>
      </c>
      <c r="O1044">
        <v>9</v>
      </c>
      <c r="P1044">
        <v>1</v>
      </c>
      <c r="Q1044" t="s">
        <v>3</v>
      </c>
    </row>
    <row r="1045" spans="1:28">
      <c r="A1045" t="s">
        <v>1021</v>
      </c>
      <c r="B1045" t="s">
        <v>1146</v>
      </c>
      <c r="C1045">
        <v>0.01</v>
      </c>
      <c r="D1045" t="s">
        <v>758</v>
      </c>
      <c r="E1045" t="s">
        <v>967</v>
      </c>
      <c r="F1045" t="s">
        <v>968</v>
      </c>
      <c r="H1045">
        <v>999.99900000000002</v>
      </c>
      <c r="J1045" t="s">
        <v>1208</v>
      </c>
      <c r="K1045">
        <v>107288114</v>
      </c>
      <c r="L1045" s="2">
        <v>45014</v>
      </c>
      <c r="M1045">
        <v>23</v>
      </c>
      <c r="N1045">
        <v>1</v>
      </c>
      <c r="O1045">
        <v>8</v>
      </c>
      <c r="P1045">
        <v>1</v>
      </c>
      <c r="Q1045" t="s">
        <v>7</v>
      </c>
      <c r="W1045" t="s">
        <v>1322</v>
      </c>
      <c r="X1045" t="s">
        <v>1323</v>
      </c>
      <c r="AB1045" t="s">
        <v>1324</v>
      </c>
    </row>
    <row r="1046" spans="1:28">
      <c r="A1046" t="s">
        <v>1021</v>
      </c>
      <c r="B1046" t="s">
        <v>1130</v>
      </c>
      <c r="C1046">
        <v>0</v>
      </c>
      <c r="D1046" t="s">
        <v>763</v>
      </c>
      <c r="E1046" t="s">
        <v>965</v>
      </c>
      <c r="F1046" t="s">
        <v>1023</v>
      </c>
      <c r="H1046">
        <v>999.99900000000002</v>
      </c>
      <c r="K1046">
        <v>105577941</v>
      </c>
      <c r="L1046" s="2">
        <v>43324</v>
      </c>
      <c r="M1046">
        <v>31</v>
      </c>
      <c r="N1046">
        <v>1</v>
      </c>
      <c r="O1046">
        <v>0</v>
      </c>
      <c r="P1046">
        <v>1</v>
      </c>
      <c r="Q1046" t="s">
        <v>7</v>
      </c>
    </row>
    <row r="1047" spans="1:28">
      <c r="A1047" t="s">
        <v>970</v>
      </c>
      <c r="B1047" t="s">
        <v>984</v>
      </c>
      <c r="C1047">
        <v>0</v>
      </c>
      <c r="E1047" t="s">
        <v>965</v>
      </c>
      <c r="F1047" t="s">
        <v>985</v>
      </c>
      <c r="H1047">
        <v>999.99900000000002</v>
      </c>
      <c r="K1047">
        <v>107903961</v>
      </c>
      <c r="L1047" s="2">
        <v>45596</v>
      </c>
      <c r="M1047">
        <v>21</v>
      </c>
      <c r="N1047">
        <v>1</v>
      </c>
      <c r="O1047">
        <v>9</v>
      </c>
      <c r="P1047">
        <v>1</v>
      </c>
      <c r="Q1047" t="s">
        <v>7</v>
      </c>
    </row>
    <row r="1048" spans="1:28">
      <c r="A1048" t="s">
        <v>1021</v>
      </c>
      <c r="B1048" t="s">
        <v>985</v>
      </c>
      <c r="C1048">
        <v>8.9999999999999993E-3</v>
      </c>
      <c r="D1048" t="s">
        <v>765</v>
      </c>
      <c r="E1048" t="s">
        <v>965</v>
      </c>
      <c r="F1048" t="s">
        <v>985</v>
      </c>
      <c r="H1048">
        <v>999.99900000000002</v>
      </c>
      <c r="K1048">
        <v>107612188</v>
      </c>
      <c r="L1048" s="2">
        <v>45324</v>
      </c>
      <c r="M1048">
        <v>19</v>
      </c>
      <c r="N1048">
        <v>1</v>
      </c>
      <c r="O1048">
        <v>0</v>
      </c>
      <c r="P1048">
        <v>1</v>
      </c>
    </row>
    <row r="1049" spans="1:28">
      <c r="A1049" t="s">
        <v>970</v>
      </c>
      <c r="B1049" t="s">
        <v>978</v>
      </c>
      <c r="C1049">
        <v>2.8000000000000001E-2</v>
      </c>
      <c r="D1049" t="s">
        <v>6</v>
      </c>
      <c r="E1049" t="s">
        <v>965</v>
      </c>
      <c r="F1049" t="s">
        <v>978</v>
      </c>
      <c r="H1049">
        <v>999.99900000000002</v>
      </c>
      <c r="K1049">
        <v>107543211</v>
      </c>
      <c r="L1049" s="2">
        <v>45258</v>
      </c>
      <c r="M1049">
        <v>19</v>
      </c>
      <c r="N1049">
        <v>1</v>
      </c>
      <c r="O1049">
        <v>0</v>
      </c>
      <c r="P1049">
        <v>1</v>
      </c>
      <c r="Q1049" t="s">
        <v>7</v>
      </c>
      <c r="R1049">
        <v>35.176637999999997</v>
      </c>
      <c r="S1049">
        <v>-79.440675999999996</v>
      </c>
      <c r="T1049" t="s">
        <v>760</v>
      </c>
      <c r="U1049" t="s">
        <v>367</v>
      </c>
      <c r="V1049">
        <v>0.72619999999999996</v>
      </c>
    </row>
    <row r="1050" spans="1:28">
      <c r="A1050" t="s">
        <v>970</v>
      </c>
      <c r="B1050" t="s">
        <v>978</v>
      </c>
      <c r="C1050">
        <v>1.9E-2</v>
      </c>
      <c r="D1050" t="s">
        <v>6</v>
      </c>
      <c r="E1050" t="s">
        <v>965</v>
      </c>
      <c r="H1050">
        <v>999.99900000000002</v>
      </c>
      <c r="K1050">
        <v>106127933</v>
      </c>
      <c r="L1050" s="2">
        <v>43845</v>
      </c>
      <c r="M1050">
        <v>18</v>
      </c>
      <c r="N1050">
        <v>1</v>
      </c>
      <c r="O1050">
        <v>5</v>
      </c>
      <c r="P1050">
        <v>1</v>
      </c>
      <c r="Q1050" t="s">
        <v>7</v>
      </c>
    </row>
    <row r="1051" spans="1:28">
      <c r="A1051" t="s">
        <v>970</v>
      </c>
      <c r="B1051" t="s">
        <v>992</v>
      </c>
      <c r="C1051">
        <v>8.9999999999999993E-3</v>
      </c>
      <c r="D1051" t="s">
        <v>6</v>
      </c>
      <c r="E1051" t="s">
        <v>965</v>
      </c>
      <c r="F1051" t="s">
        <v>993</v>
      </c>
      <c r="H1051">
        <v>999.99900000000002</v>
      </c>
      <c r="K1051">
        <v>104943958</v>
      </c>
      <c r="L1051" s="2">
        <v>42714</v>
      </c>
      <c r="M1051">
        <v>31</v>
      </c>
      <c r="N1051">
        <v>1</v>
      </c>
      <c r="O1051">
        <v>4</v>
      </c>
      <c r="P1051">
        <v>1</v>
      </c>
      <c r="Q1051" t="s">
        <v>7</v>
      </c>
    </row>
    <row r="1052" spans="1:28">
      <c r="A1052" t="s">
        <v>1021</v>
      </c>
      <c r="B1052" t="s">
        <v>1142</v>
      </c>
      <c r="C1052">
        <v>0</v>
      </c>
      <c r="E1052" t="s">
        <v>965</v>
      </c>
      <c r="F1052" t="s">
        <v>1040</v>
      </c>
      <c r="H1052">
        <v>999.99900000000002</v>
      </c>
      <c r="K1052">
        <v>106898333</v>
      </c>
      <c r="L1052" s="2">
        <v>44642</v>
      </c>
      <c r="M1052">
        <v>29</v>
      </c>
      <c r="N1052">
        <v>1</v>
      </c>
      <c r="O1052">
        <v>7</v>
      </c>
      <c r="P1052">
        <v>1</v>
      </c>
      <c r="Q1052" t="s">
        <v>7</v>
      </c>
    </row>
    <row r="1053" spans="1:28">
      <c r="A1053" t="s">
        <v>1021</v>
      </c>
      <c r="B1053" t="s">
        <v>1174</v>
      </c>
      <c r="C1053">
        <v>0</v>
      </c>
      <c r="E1053" t="s">
        <v>965</v>
      </c>
      <c r="F1053" t="s">
        <v>1175</v>
      </c>
      <c r="H1053">
        <v>999.99900000000002</v>
      </c>
      <c r="K1053">
        <v>107835020</v>
      </c>
      <c r="L1053" s="2">
        <v>45535</v>
      </c>
      <c r="M1053">
        <v>28</v>
      </c>
      <c r="N1053">
        <v>1</v>
      </c>
      <c r="O1053">
        <v>9</v>
      </c>
      <c r="P1053">
        <v>1</v>
      </c>
      <c r="Q1053" t="s">
        <v>7</v>
      </c>
    </row>
    <row r="1054" spans="1:28">
      <c r="A1054" t="s">
        <v>754</v>
      </c>
      <c r="B1054" t="s">
        <v>986</v>
      </c>
      <c r="C1054">
        <v>0</v>
      </c>
      <c r="E1054" t="s">
        <v>962</v>
      </c>
      <c r="F1054" t="s">
        <v>968</v>
      </c>
      <c r="H1054">
        <v>999.99900000000002</v>
      </c>
      <c r="K1054">
        <v>105338829</v>
      </c>
      <c r="L1054" s="2">
        <v>43088</v>
      </c>
      <c r="M1054">
        <v>30</v>
      </c>
      <c r="N1054">
        <v>1</v>
      </c>
      <c r="O1054">
        <v>8</v>
      </c>
      <c r="P1054">
        <v>1</v>
      </c>
      <c r="Q1054" t="s">
        <v>7</v>
      </c>
    </row>
    <row r="1055" spans="1:28">
      <c r="A1055" t="s">
        <v>1021</v>
      </c>
      <c r="B1055" t="s">
        <v>1187</v>
      </c>
      <c r="C1055">
        <v>1.9E-2</v>
      </c>
      <c r="D1055" t="s">
        <v>757</v>
      </c>
      <c r="E1055" t="s">
        <v>965</v>
      </c>
      <c r="F1055" t="s">
        <v>1051</v>
      </c>
      <c r="H1055">
        <v>999.99900000000002</v>
      </c>
      <c r="K1055">
        <v>108139378</v>
      </c>
      <c r="L1055" s="2">
        <v>45820</v>
      </c>
      <c r="M1055">
        <v>28</v>
      </c>
      <c r="N1055">
        <v>1</v>
      </c>
      <c r="O1055">
        <v>0</v>
      </c>
      <c r="P1055">
        <v>1</v>
      </c>
      <c r="Q1055" t="s">
        <v>7</v>
      </c>
    </row>
    <row r="1056" spans="1:28">
      <c r="A1056" t="s">
        <v>1021</v>
      </c>
      <c r="B1056" t="s">
        <v>1106</v>
      </c>
      <c r="C1056">
        <v>0.01</v>
      </c>
      <c r="D1056" t="s">
        <v>6</v>
      </c>
      <c r="E1056" t="s">
        <v>965</v>
      </c>
      <c r="F1056" t="s">
        <v>1072</v>
      </c>
      <c r="H1056">
        <v>999.99900000000002</v>
      </c>
      <c r="K1056">
        <v>106022020</v>
      </c>
      <c r="L1056" s="2">
        <v>43721</v>
      </c>
      <c r="M1056">
        <v>21</v>
      </c>
      <c r="N1056">
        <v>1</v>
      </c>
      <c r="O1056">
        <v>7</v>
      </c>
      <c r="P1056">
        <v>4</v>
      </c>
      <c r="Q1056" t="s">
        <v>3</v>
      </c>
    </row>
    <row r="1057" spans="1:28">
      <c r="A1057" t="s">
        <v>1021</v>
      </c>
      <c r="B1057" t="s">
        <v>1183</v>
      </c>
      <c r="C1057">
        <v>0</v>
      </c>
      <c r="D1057" t="s">
        <v>6</v>
      </c>
      <c r="E1057" t="s">
        <v>965</v>
      </c>
      <c r="H1057">
        <v>999.99900000000002</v>
      </c>
      <c r="K1057">
        <v>108148472</v>
      </c>
      <c r="L1057" s="2">
        <v>45829</v>
      </c>
      <c r="M1057">
        <v>1</v>
      </c>
      <c r="N1057">
        <v>1</v>
      </c>
      <c r="O1057">
        <v>0</v>
      </c>
      <c r="P1057">
        <v>1</v>
      </c>
      <c r="Q1057" t="s">
        <v>7</v>
      </c>
    </row>
    <row r="1058" spans="1:28">
      <c r="A1058" t="s">
        <v>1021</v>
      </c>
      <c r="B1058" t="s">
        <v>963</v>
      </c>
      <c r="C1058">
        <v>5.0000000000000001E-3</v>
      </c>
      <c r="D1058" t="s">
        <v>756</v>
      </c>
      <c r="E1058" t="s">
        <v>968</v>
      </c>
      <c r="F1058" t="s">
        <v>965</v>
      </c>
      <c r="H1058">
        <v>999.99900000000002</v>
      </c>
      <c r="J1058" t="s">
        <v>1208</v>
      </c>
      <c r="K1058">
        <v>105881697</v>
      </c>
      <c r="L1058" s="2">
        <v>43589</v>
      </c>
      <c r="M1058">
        <v>2</v>
      </c>
      <c r="N1058">
        <v>2</v>
      </c>
      <c r="O1058">
        <v>8</v>
      </c>
      <c r="P1058">
        <v>5</v>
      </c>
      <c r="Q1058" t="s">
        <v>7</v>
      </c>
      <c r="W1058" t="s">
        <v>885</v>
      </c>
    </row>
    <row r="1059" spans="1:28">
      <c r="A1059" t="s">
        <v>1021</v>
      </c>
      <c r="B1059" t="s">
        <v>1038</v>
      </c>
      <c r="C1059">
        <v>2.8000000000000001E-2</v>
      </c>
      <c r="D1059" t="s">
        <v>763</v>
      </c>
      <c r="E1059" t="s">
        <v>965</v>
      </c>
      <c r="F1059" t="s">
        <v>1185</v>
      </c>
      <c r="H1059">
        <v>999.99900000000002</v>
      </c>
      <c r="K1059">
        <v>108174677</v>
      </c>
      <c r="L1059" s="2">
        <v>45855</v>
      </c>
      <c r="M1059">
        <v>17</v>
      </c>
      <c r="N1059">
        <v>1</v>
      </c>
      <c r="O1059">
        <v>0</v>
      </c>
      <c r="P1059">
        <v>1</v>
      </c>
      <c r="Q1059" t="s">
        <v>7</v>
      </c>
    </row>
    <row r="1060" spans="1:28">
      <c r="A1060" t="s">
        <v>1021</v>
      </c>
      <c r="B1060" t="s">
        <v>967</v>
      </c>
      <c r="C1060">
        <v>0.11</v>
      </c>
      <c r="D1060" t="s">
        <v>6</v>
      </c>
      <c r="E1060" t="s">
        <v>1161</v>
      </c>
      <c r="F1060" t="s">
        <v>965</v>
      </c>
      <c r="H1060">
        <v>999.99900000000002</v>
      </c>
      <c r="J1060" t="s">
        <v>773</v>
      </c>
      <c r="K1060">
        <v>107822418</v>
      </c>
      <c r="L1060" s="2">
        <v>45523</v>
      </c>
      <c r="M1060">
        <v>21</v>
      </c>
      <c r="N1060">
        <v>1</v>
      </c>
      <c r="O1060">
        <v>12</v>
      </c>
      <c r="P1060">
        <v>1</v>
      </c>
      <c r="Q1060" t="s">
        <v>7</v>
      </c>
    </row>
    <row r="1061" spans="1:28">
      <c r="A1061" t="s">
        <v>1021</v>
      </c>
      <c r="B1061" t="s">
        <v>967</v>
      </c>
      <c r="C1061">
        <v>3.0000000000000001E-3</v>
      </c>
      <c r="D1061" t="s">
        <v>757</v>
      </c>
      <c r="E1061" t="s">
        <v>1089</v>
      </c>
      <c r="F1061" t="s">
        <v>1029</v>
      </c>
      <c r="H1061">
        <v>999.99900000000002</v>
      </c>
      <c r="K1061">
        <v>105168876</v>
      </c>
      <c r="L1061" s="2">
        <v>42920</v>
      </c>
      <c r="M1061">
        <v>1</v>
      </c>
      <c r="N1061">
        <v>2</v>
      </c>
      <c r="O1061">
        <v>4</v>
      </c>
      <c r="P1061">
        <v>6</v>
      </c>
      <c r="Q1061" t="s">
        <v>7</v>
      </c>
    </row>
    <row r="1062" spans="1:28">
      <c r="A1062" t="s">
        <v>1021</v>
      </c>
      <c r="B1062" t="s">
        <v>967</v>
      </c>
      <c r="C1062">
        <v>0</v>
      </c>
      <c r="E1062" t="s">
        <v>1145</v>
      </c>
      <c r="F1062" t="s">
        <v>968</v>
      </c>
      <c r="H1062">
        <v>999.99900000000002</v>
      </c>
      <c r="J1062" t="s">
        <v>773</v>
      </c>
      <c r="K1062">
        <v>107000890</v>
      </c>
      <c r="L1062" s="2">
        <v>44740</v>
      </c>
      <c r="M1062">
        <v>30</v>
      </c>
      <c r="N1062">
        <v>1</v>
      </c>
      <c r="O1062">
        <v>7</v>
      </c>
      <c r="P1062">
        <v>1</v>
      </c>
      <c r="Q1062" t="s">
        <v>3</v>
      </c>
      <c r="W1062" t="s">
        <v>1325</v>
      </c>
      <c r="X1062" t="s">
        <v>1326</v>
      </c>
      <c r="AA1062" t="s">
        <v>724</v>
      </c>
      <c r="AB1062" t="s">
        <v>1327</v>
      </c>
    </row>
    <row r="1063" spans="1:28">
      <c r="A1063" t="s">
        <v>1021</v>
      </c>
      <c r="B1063" t="s">
        <v>967</v>
      </c>
      <c r="C1063">
        <v>0</v>
      </c>
      <c r="E1063" t="s">
        <v>1057</v>
      </c>
      <c r="F1063" t="s">
        <v>1018</v>
      </c>
      <c r="H1063">
        <v>999.99900000000002</v>
      </c>
      <c r="J1063" t="s">
        <v>1208</v>
      </c>
      <c r="K1063">
        <v>107422822</v>
      </c>
      <c r="L1063" s="2">
        <v>45150</v>
      </c>
      <c r="M1063">
        <v>24</v>
      </c>
      <c r="N1063">
        <v>1</v>
      </c>
      <c r="O1063">
        <v>8</v>
      </c>
      <c r="P1063">
        <v>1</v>
      </c>
      <c r="Q1063" t="s">
        <v>7</v>
      </c>
      <c r="W1063" t="s">
        <v>1328</v>
      </c>
      <c r="X1063" t="s">
        <v>1329</v>
      </c>
      <c r="AB1063" t="s">
        <v>1330</v>
      </c>
    </row>
    <row r="1064" spans="1:28">
      <c r="A1064" t="s">
        <v>970</v>
      </c>
      <c r="B1064" t="s">
        <v>980</v>
      </c>
      <c r="C1064">
        <v>3.0000000000000001E-3</v>
      </c>
      <c r="D1064" t="s">
        <v>757</v>
      </c>
      <c r="E1064" t="s">
        <v>965</v>
      </c>
      <c r="F1064" t="s">
        <v>978</v>
      </c>
      <c r="H1064">
        <v>999.99900000000002</v>
      </c>
      <c r="K1064">
        <v>105004676</v>
      </c>
      <c r="L1064" s="2">
        <v>42777</v>
      </c>
      <c r="M1064">
        <v>19</v>
      </c>
      <c r="N1064">
        <v>1</v>
      </c>
      <c r="O1064">
        <v>8</v>
      </c>
      <c r="P1064">
        <v>4</v>
      </c>
      <c r="Q1064" t="s">
        <v>7</v>
      </c>
    </row>
    <row r="1065" spans="1:28">
      <c r="A1065" t="s">
        <v>1021</v>
      </c>
      <c r="B1065" t="s">
        <v>975</v>
      </c>
      <c r="C1065">
        <v>2E-3</v>
      </c>
      <c r="D1065" t="s">
        <v>757</v>
      </c>
      <c r="E1065" t="s">
        <v>965</v>
      </c>
      <c r="F1065" t="s">
        <v>968</v>
      </c>
      <c r="H1065">
        <v>999.99900000000002</v>
      </c>
      <c r="K1065">
        <v>106978877</v>
      </c>
      <c r="L1065" s="2">
        <v>44718</v>
      </c>
      <c r="M1065">
        <v>27</v>
      </c>
      <c r="N1065">
        <v>1</v>
      </c>
      <c r="O1065">
        <v>8</v>
      </c>
      <c r="P1065">
        <v>1</v>
      </c>
      <c r="Q1065" t="s">
        <v>7</v>
      </c>
    </row>
    <row r="1066" spans="1:28">
      <c r="A1066" t="s">
        <v>1021</v>
      </c>
      <c r="B1066" t="s">
        <v>966</v>
      </c>
      <c r="C1066">
        <v>3.7999999999999999E-2</v>
      </c>
      <c r="D1066" t="s">
        <v>757</v>
      </c>
      <c r="E1066" t="s">
        <v>1102</v>
      </c>
      <c r="F1066" t="s">
        <v>1050</v>
      </c>
      <c r="H1066">
        <v>999.99900000000002</v>
      </c>
      <c r="K1066">
        <v>107063516</v>
      </c>
      <c r="L1066" s="2">
        <v>44804</v>
      </c>
      <c r="M1066">
        <v>1</v>
      </c>
      <c r="N1066">
        <v>1</v>
      </c>
      <c r="O1066">
        <v>0</v>
      </c>
      <c r="P1066">
        <v>5</v>
      </c>
      <c r="Q1066" t="s">
        <v>3</v>
      </c>
    </row>
    <row r="1067" spans="1:28">
      <c r="A1067" t="s">
        <v>1021</v>
      </c>
      <c r="B1067" t="s">
        <v>966</v>
      </c>
      <c r="C1067">
        <v>0</v>
      </c>
      <c r="E1067" t="s">
        <v>1102</v>
      </c>
      <c r="F1067" t="s">
        <v>1028</v>
      </c>
      <c r="H1067">
        <v>999.99900000000002</v>
      </c>
      <c r="K1067">
        <v>106431933</v>
      </c>
      <c r="L1067" s="2">
        <v>44154</v>
      </c>
      <c r="M1067">
        <v>19</v>
      </c>
      <c r="N1067">
        <v>1</v>
      </c>
      <c r="P1067">
        <v>3</v>
      </c>
      <c r="Q1067" t="s">
        <v>7</v>
      </c>
    </row>
    <row r="1068" spans="1:28">
      <c r="A1068" t="s">
        <v>1021</v>
      </c>
      <c r="B1068" t="s">
        <v>966</v>
      </c>
      <c r="C1068">
        <v>0.09</v>
      </c>
      <c r="D1068" t="s">
        <v>758</v>
      </c>
      <c r="E1068" t="s">
        <v>1102</v>
      </c>
      <c r="F1068" t="s">
        <v>1028</v>
      </c>
      <c r="H1068">
        <v>999.99900000000002</v>
      </c>
      <c r="K1068">
        <v>106912565</v>
      </c>
      <c r="L1068" s="2">
        <v>44657</v>
      </c>
      <c r="M1068">
        <v>21</v>
      </c>
      <c r="N1068">
        <v>1</v>
      </c>
      <c r="O1068">
        <v>0</v>
      </c>
      <c r="P1068">
        <v>1</v>
      </c>
      <c r="Q1068" t="s">
        <v>7</v>
      </c>
    </row>
    <row r="1069" spans="1:28">
      <c r="A1069" t="s">
        <v>1021</v>
      </c>
      <c r="B1069" t="s">
        <v>966</v>
      </c>
      <c r="C1069">
        <v>1.9E-2</v>
      </c>
      <c r="D1069" t="s">
        <v>6</v>
      </c>
      <c r="E1069" t="s">
        <v>1131</v>
      </c>
      <c r="F1069" t="s">
        <v>1132</v>
      </c>
      <c r="H1069">
        <v>999.99900000000002</v>
      </c>
      <c r="K1069">
        <v>108504711</v>
      </c>
      <c r="L1069" s="2">
        <v>46162</v>
      </c>
      <c r="M1069">
        <v>17</v>
      </c>
      <c r="N1069">
        <v>1</v>
      </c>
      <c r="O1069">
        <v>0</v>
      </c>
      <c r="P1069">
        <v>5</v>
      </c>
      <c r="Q1069" t="s">
        <v>7</v>
      </c>
    </row>
    <row r="1070" spans="1:28">
      <c r="A1070" t="s">
        <v>1021</v>
      </c>
      <c r="B1070" t="s">
        <v>966</v>
      </c>
      <c r="C1070">
        <v>0.25</v>
      </c>
      <c r="D1070" t="s">
        <v>764</v>
      </c>
      <c r="E1070" t="s">
        <v>967</v>
      </c>
      <c r="F1070" t="s">
        <v>1102</v>
      </c>
      <c r="H1070">
        <v>999.99900000000002</v>
      </c>
      <c r="K1070">
        <v>107972093</v>
      </c>
      <c r="L1070" s="2">
        <v>45654</v>
      </c>
      <c r="M1070">
        <v>1</v>
      </c>
      <c r="N1070">
        <v>2</v>
      </c>
      <c r="O1070">
        <v>0</v>
      </c>
      <c r="P1070">
        <v>5</v>
      </c>
      <c r="Q1070" t="s">
        <v>7</v>
      </c>
    </row>
    <row r="1071" spans="1:28">
      <c r="A1071" t="s">
        <v>1021</v>
      </c>
      <c r="B1071" t="s">
        <v>966</v>
      </c>
      <c r="C1071">
        <v>0.16</v>
      </c>
      <c r="D1071" t="s">
        <v>764</v>
      </c>
      <c r="E1071" t="s">
        <v>967</v>
      </c>
      <c r="F1071" t="s">
        <v>1028</v>
      </c>
      <c r="H1071">
        <v>999.99900000000002</v>
      </c>
      <c r="K1071">
        <v>107009267</v>
      </c>
      <c r="L1071" s="2">
        <v>44749</v>
      </c>
      <c r="M1071">
        <v>18</v>
      </c>
      <c r="N1071">
        <v>1</v>
      </c>
      <c r="O1071">
        <v>0</v>
      </c>
      <c r="P1071">
        <v>5</v>
      </c>
      <c r="Q1071" t="s">
        <v>3</v>
      </c>
    </row>
    <row r="1072" spans="1:28">
      <c r="A1072" t="s">
        <v>1021</v>
      </c>
      <c r="B1072" t="s">
        <v>966</v>
      </c>
      <c r="C1072">
        <v>0</v>
      </c>
      <c r="E1072" t="s">
        <v>1086</v>
      </c>
      <c r="F1072" t="s">
        <v>1050</v>
      </c>
      <c r="H1072">
        <v>999.99900000000002</v>
      </c>
      <c r="K1072">
        <v>106802147</v>
      </c>
      <c r="L1072" s="2">
        <v>44395</v>
      </c>
      <c r="M1072">
        <v>24</v>
      </c>
      <c r="N1072">
        <v>1</v>
      </c>
      <c r="O1072">
        <v>8</v>
      </c>
      <c r="P1072">
        <v>1</v>
      </c>
      <c r="Q1072" t="s">
        <v>7</v>
      </c>
    </row>
    <row r="1073" spans="1:22">
      <c r="A1073" t="s">
        <v>1021</v>
      </c>
      <c r="B1073" t="s">
        <v>966</v>
      </c>
      <c r="C1073">
        <v>0</v>
      </c>
      <c r="E1073" t="s">
        <v>1086</v>
      </c>
      <c r="F1073" t="s">
        <v>1087</v>
      </c>
      <c r="H1073">
        <v>999.99900000000002</v>
      </c>
      <c r="K1073">
        <v>106337864</v>
      </c>
      <c r="L1073" s="2">
        <v>44053</v>
      </c>
      <c r="M1073">
        <v>24</v>
      </c>
      <c r="N1073">
        <v>2</v>
      </c>
      <c r="O1073">
        <v>8</v>
      </c>
      <c r="P1073">
        <v>1</v>
      </c>
      <c r="Q1073" t="s">
        <v>7</v>
      </c>
    </row>
    <row r="1074" spans="1:22">
      <c r="A1074" t="s">
        <v>1021</v>
      </c>
      <c r="B1074" t="s">
        <v>966</v>
      </c>
      <c r="C1074">
        <v>0</v>
      </c>
      <c r="D1074" t="s">
        <v>757</v>
      </c>
      <c r="E1074" t="s">
        <v>1086</v>
      </c>
      <c r="F1074" t="s">
        <v>1087</v>
      </c>
      <c r="H1074">
        <v>999.99900000000002</v>
      </c>
      <c r="K1074">
        <v>105056693</v>
      </c>
      <c r="L1074" s="2">
        <v>42816</v>
      </c>
      <c r="M1074">
        <v>30</v>
      </c>
      <c r="N1074">
        <v>1</v>
      </c>
      <c r="O1074">
        <v>8</v>
      </c>
      <c r="P1074">
        <v>1</v>
      </c>
      <c r="Q1074" t="s">
        <v>3</v>
      </c>
    </row>
    <row r="1075" spans="1:22">
      <c r="A1075" t="s">
        <v>1021</v>
      </c>
      <c r="B1075" t="s">
        <v>966</v>
      </c>
      <c r="C1075">
        <v>0</v>
      </c>
      <c r="E1075" t="s">
        <v>1087</v>
      </c>
      <c r="F1075" t="s">
        <v>1050</v>
      </c>
      <c r="H1075">
        <v>999.99900000000002</v>
      </c>
      <c r="K1075">
        <v>105823324</v>
      </c>
      <c r="L1075" s="2">
        <v>43547</v>
      </c>
      <c r="M1075">
        <v>30</v>
      </c>
      <c r="N1075">
        <v>1</v>
      </c>
      <c r="O1075">
        <v>8</v>
      </c>
      <c r="P1075">
        <v>1</v>
      </c>
      <c r="Q1075" t="s">
        <v>7</v>
      </c>
    </row>
    <row r="1076" spans="1:22">
      <c r="A1076" t="s">
        <v>1021</v>
      </c>
      <c r="B1076" t="s">
        <v>966</v>
      </c>
      <c r="C1076">
        <v>6.6000000000000003E-2</v>
      </c>
      <c r="D1076" t="s">
        <v>757</v>
      </c>
      <c r="E1076" t="s">
        <v>1087</v>
      </c>
      <c r="F1076" t="s">
        <v>1123</v>
      </c>
      <c r="H1076">
        <v>999.99900000000002</v>
      </c>
      <c r="K1076">
        <v>106095392</v>
      </c>
      <c r="L1076" s="2">
        <v>43777</v>
      </c>
      <c r="M1076">
        <v>2</v>
      </c>
      <c r="N1076">
        <v>1</v>
      </c>
      <c r="O1076">
        <v>0</v>
      </c>
      <c r="P1076">
        <v>5</v>
      </c>
      <c r="Q1076" t="s">
        <v>8</v>
      </c>
    </row>
    <row r="1077" spans="1:22">
      <c r="A1077" t="s">
        <v>1021</v>
      </c>
      <c r="B1077" t="s">
        <v>966</v>
      </c>
      <c r="C1077">
        <v>0.18</v>
      </c>
      <c r="D1077" t="s">
        <v>756</v>
      </c>
      <c r="E1077" t="s">
        <v>1028</v>
      </c>
      <c r="F1077" t="s">
        <v>1102</v>
      </c>
      <c r="H1077">
        <v>999.99900000000002</v>
      </c>
      <c r="K1077">
        <v>107719794</v>
      </c>
      <c r="L1077" s="2">
        <v>45426</v>
      </c>
      <c r="M1077">
        <v>1</v>
      </c>
      <c r="N1077">
        <v>2</v>
      </c>
      <c r="O1077">
        <v>0</v>
      </c>
      <c r="P1077">
        <v>1</v>
      </c>
      <c r="Q1077" t="s">
        <v>7</v>
      </c>
    </row>
    <row r="1078" spans="1:22">
      <c r="A1078" t="s">
        <v>1021</v>
      </c>
      <c r="B1078" t="s">
        <v>966</v>
      </c>
      <c r="C1078">
        <v>0.22</v>
      </c>
      <c r="D1078" t="s">
        <v>756</v>
      </c>
      <c r="E1078" t="s">
        <v>1028</v>
      </c>
      <c r="F1078" t="s">
        <v>1102</v>
      </c>
      <c r="H1078">
        <v>999.99900000000002</v>
      </c>
      <c r="K1078">
        <v>106502446</v>
      </c>
      <c r="L1078" s="2">
        <v>44196</v>
      </c>
      <c r="M1078">
        <v>1</v>
      </c>
      <c r="N1078">
        <v>2</v>
      </c>
      <c r="P1078">
        <v>5</v>
      </c>
      <c r="Q1078" t="s">
        <v>7</v>
      </c>
    </row>
    <row r="1079" spans="1:22">
      <c r="A1079" t="s">
        <v>1021</v>
      </c>
      <c r="B1079" t="s">
        <v>966</v>
      </c>
      <c r="C1079">
        <v>0.1</v>
      </c>
      <c r="D1079" t="s">
        <v>756</v>
      </c>
      <c r="E1079" t="s">
        <v>1028</v>
      </c>
      <c r="F1079" t="s">
        <v>1102</v>
      </c>
      <c r="H1079">
        <v>999.99900000000002</v>
      </c>
      <c r="K1079">
        <v>107985552</v>
      </c>
      <c r="L1079" s="2">
        <v>45667</v>
      </c>
      <c r="M1079">
        <v>2</v>
      </c>
      <c r="N1079">
        <v>6</v>
      </c>
      <c r="O1079">
        <v>0</v>
      </c>
      <c r="P1079">
        <v>5</v>
      </c>
      <c r="Q1079" t="s">
        <v>7</v>
      </c>
    </row>
    <row r="1080" spans="1:22">
      <c r="A1080" t="s">
        <v>1021</v>
      </c>
      <c r="B1080" t="s">
        <v>966</v>
      </c>
      <c r="C1080">
        <v>0.31</v>
      </c>
      <c r="D1080" t="s">
        <v>762</v>
      </c>
      <c r="E1080" t="s">
        <v>1028</v>
      </c>
      <c r="F1080" t="s">
        <v>1102</v>
      </c>
      <c r="H1080">
        <v>999.99900000000002</v>
      </c>
      <c r="K1080">
        <v>106578185</v>
      </c>
      <c r="L1080" s="2">
        <v>44274</v>
      </c>
      <c r="M1080">
        <v>21</v>
      </c>
      <c r="N1080">
        <v>2</v>
      </c>
      <c r="O1080">
        <v>7</v>
      </c>
      <c r="P1080">
        <v>1</v>
      </c>
      <c r="Q1080" t="s">
        <v>7</v>
      </c>
    </row>
    <row r="1081" spans="1:22">
      <c r="A1081" t="s">
        <v>1021</v>
      </c>
      <c r="B1081" t="s">
        <v>966</v>
      </c>
      <c r="C1081">
        <v>0.61</v>
      </c>
      <c r="D1081" t="s">
        <v>758</v>
      </c>
      <c r="E1081" t="s">
        <v>1028</v>
      </c>
      <c r="F1081" t="s">
        <v>967</v>
      </c>
      <c r="H1081">
        <v>999.99900000000002</v>
      </c>
      <c r="K1081">
        <v>107205109</v>
      </c>
      <c r="L1081" s="2">
        <v>44760</v>
      </c>
      <c r="M1081">
        <v>30</v>
      </c>
      <c r="N1081">
        <v>1</v>
      </c>
      <c r="O1081">
        <v>7</v>
      </c>
      <c r="P1081">
        <v>1</v>
      </c>
      <c r="Q1081" t="s">
        <v>3</v>
      </c>
    </row>
    <row r="1082" spans="1:22">
      <c r="A1082" t="s">
        <v>1021</v>
      </c>
      <c r="B1082" t="s">
        <v>966</v>
      </c>
      <c r="C1082">
        <v>0</v>
      </c>
      <c r="E1082" t="s">
        <v>1028</v>
      </c>
      <c r="F1082" t="s">
        <v>1050</v>
      </c>
      <c r="H1082">
        <v>999.99900000000002</v>
      </c>
      <c r="K1082">
        <v>105864810</v>
      </c>
      <c r="L1082" s="2">
        <v>43584</v>
      </c>
      <c r="M1082">
        <v>23</v>
      </c>
      <c r="N1082">
        <v>1</v>
      </c>
      <c r="O1082">
        <v>7</v>
      </c>
      <c r="P1082">
        <v>1</v>
      </c>
      <c r="Q1082" t="s">
        <v>7</v>
      </c>
    </row>
    <row r="1083" spans="1:22">
      <c r="A1083" t="s">
        <v>1021</v>
      </c>
      <c r="B1083" t="s">
        <v>966</v>
      </c>
      <c r="C1083">
        <v>0</v>
      </c>
      <c r="E1083" t="s">
        <v>1028</v>
      </c>
      <c r="F1083" t="s">
        <v>1050</v>
      </c>
      <c r="H1083">
        <v>999.99900000000002</v>
      </c>
      <c r="K1083">
        <v>108419482</v>
      </c>
      <c r="L1083" s="2">
        <v>46084</v>
      </c>
      <c r="M1083">
        <v>30</v>
      </c>
      <c r="N1083">
        <v>1</v>
      </c>
      <c r="O1083">
        <v>7</v>
      </c>
      <c r="P1083">
        <v>1</v>
      </c>
      <c r="Q1083" t="s">
        <v>7</v>
      </c>
    </row>
    <row r="1084" spans="1:22">
      <c r="A1084" t="s">
        <v>1021</v>
      </c>
      <c r="B1084" t="s">
        <v>966</v>
      </c>
      <c r="C1084">
        <v>0</v>
      </c>
      <c r="E1084" t="s">
        <v>1028</v>
      </c>
      <c r="F1084" t="s">
        <v>1050</v>
      </c>
      <c r="H1084">
        <v>999.99900000000002</v>
      </c>
      <c r="K1084">
        <v>106830777</v>
      </c>
      <c r="L1084" s="2">
        <v>44573</v>
      </c>
      <c r="M1084">
        <v>30</v>
      </c>
      <c r="N1084">
        <v>1</v>
      </c>
      <c r="O1084">
        <v>7</v>
      </c>
      <c r="P1084">
        <v>1</v>
      </c>
      <c r="Q1084" t="s">
        <v>7</v>
      </c>
    </row>
    <row r="1085" spans="1:22">
      <c r="A1085" t="s">
        <v>1021</v>
      </c>
      <c r="B1085" t="s">
        <v>966</v>
      </c>
      <c r="C1085">
        <v>0</v>
      </c>
      <c r="E1085" t="s">
        <v>1028</v>
      </c>
      <c r="F1085" t="s">
        <v>1050</v>
      </c>
      <c r="H1085">
        <v>999.99900000000002</v>
      </c>
      <c r="K1085">
        <v>106385300</v>
      </c>
      <c r="L1085" s="2">
        <v>44106</v>
      </c>
      <c r="M1085">
        <v>30</v>
      </c>
      <c r="N1085">
        <v>1</v>
      </c>
      <c r="O1085">
        <v>7</v>
      </c>
      <c r="P1085">
        <v>1</v>
      </c>
      <c r="Q1085" t="s">
        <v>7</v>
      </c>
    </row>
    <row r="1086" spans="1:22">
      <c r="A1086" t="s">
        <v>1021</v>
      </c>
      <c r="B1086" t="s">
        <v>966</v>
      </c>
      <c r="C1086">
        <v>0</v>
      </c>
      <c r="E1086" t="s">
        <v>1028</v>
      </c>
      <c r="F1086" t="s">
        <v>1050</v>
      </c>
      <c r="H1086">
        <v>999.99900000000002</v>
      </c>
      <c r="K1086">
        <v>106911212</v>
      </c>
      <c r="L1086" s="2">
        <v>44656</v>
      </c>
      <c r="M1086">
        <v>30</v>
      </c>
      <c r="N1086">
        <v>1</v>
      </c>
      <c r="O1086">
        <v>7</v>
      </c>
      <c r="P1086">
        <v>1</v>
      </c>
      <c r="Q1086" t="s">
        <v>7</v>
      </c>
      <c r="R1086">
        <v>35.197246999999997</v>
      </c>
      <c r="S1086">
        <v>-79.426888000000005</v>
      </c>
      <c r="T1086" t="s">
        <v>760</v>
      </c>
      <c r="U1086" t="s">
        <v>367</v>
      </c>
      <c r="V1086">
        <v>1.3180000000000001</v>
      </c>
    </row>
    <row r="1087" spans="1:22">
      <c r="A1087" t="s">
        <v>1021</v>
      </c>
      <c r="B1087" t="s">
        <v>966</v>
      </c>
      <c r="C1087">
        <v>0</v>
      </c>
      <c r="E1087" t="s">
        <v>1028</v>
      </c>
      <c r="F1087" t="s">
        <v>969</v>
      </c>
      <c r="H1087">
        <v>999.99900000000002</v>
      </c>
      <c r="K1087">
        <v>106064818</v>
      </c>
      <c r="L1087" s="2">
        <v>43765</v>
      </c>
      <c r="M1087">
        <v>30</v>
      </c>
      <c r="N1087">
        <v>1</v>
      </c>
      <c r="O1087">
        <v>7</v>
      </c>
      <c r="P1087">
        <v>2</v>
      </c>
      <c r="Q1087" t="s">
        <v>3</v>
      </c>
    </row>
    <row r="1088" spans="1:22">
      <c r="A1088" t="s">
        <v>1021</v>
      </c>
      <c r="B1088" t="s">
        <v>966</v>
      </c>
      <c r="C1088">
        <v>0</v>
      </c>
      <c r="E1088" t="s">
        <v>1028</v>
      </c>
      <c r="F1088" t="s">
        <v>1029</v>
      </c>
      <c r="H1088">
        <v>999.99900000000002</v>
      </c>
      <c r="K1088">
        <v>106350426</v>
      </c>
      <c r="L1088" s="2">
        <v>44058</v>
      </c>
      <c r="M1088">
        <v>30</v>
      </c>
      <c r="N1088">
        <v>1</v>
      </c>
      <c r="O1088">
        <v>7</v>
      </c>
      <c r="P1088">
        <v>1</v>
      </c>
      <c r="Q1088" t="s">
        <v>7</v>
      </c>
    </row>
    <row r="1089" spans="1:17">
      <c r="A1089" t="s">
        <v>1021</v>
      </c>
      <c r="B1089" t="s">
        <v>966</v>
      </c>
      <c r="C1089">
        <v>0.39</v>
      </c>
      <c r="D1089" t="s">
        <v>6</v>
      </c>
      <c r="E1089" t="s">
        <v>1028</v>
      </c>
      <c r="F1089" t="s">
        <v>964</v>
      </c>
      <c r="H1089">
        <v>999.99900000000002</v>
      </c>
      <c r="K1089">
        <v>105445151</v>
      </c>
      <c r="L1089" s="2">
        <v>43181</v>
      </c>
      <c r="M1089">
        <v>1</v>
      </c>
      <c r="N1089">
        <v>1</v>
      </c>
      <c r="O1089">
        <v>0</v>
      </c>
      <c r="P1089">
        <v>5</v>
      </c>
      <c r="Q1089" t="s">
        <v>7</v>
      </c>
    </row>
    <row r="1090" spans="1:17">
      <c r="A1090" t="s">
        <v>1021</v>
      </c>
      <c r="B1090" t="s">
        <v>966</v>
      </c>
      <c r="C1090">
        <v>0</v>
      </c>
      <c r="E1090" t="s">
        <v>1028</v>
      </c>
      <c r="F1090" t="s">
        <v>964</v>
      </c>
      <c r="H1090">
        <v>999.99900000000002</v>
      </c>
      <c r="K1090">
        <v>107366519</v>
      </c>
      <c r="L1090" s="2">
        <v>45030</v>
      </c>
      <c r="M1090">
        <v>23</v>
      </c>
      <c r="N1090">
        <v>2</v>
      </c>
      <c r="O1090">
        <v>7</v>
      </c>
      <c r="P1090">
        <v>1</v>
      </c>
      <c r="Q1090" t="s">
        <v>3</v>
      </c>
    </row>
    <row r="1091" spans="1:17">
      <c r="A1091" t="s">
        <v>1021</v>
      </c>
      <c r="B1091" t="s">
        <v>966</v>
      </c>
      <c r="C1091">
        <v>0</v>
      </c>
      <c r="E1091" t="s">
        <v>1028</v>
      </c>
      <c r="F1091" t="s">
        <v>964</v>
      </c>
      <c r="H1091">
        <v>999.99900000000002</v>
      </c>
      <c r="K1091">
        <v>106832235</v>
      </c>
      <c r="L1091" s="2">
        <v>44575</v>
      </c>
      <c r="M1091">
        <v>30</v>
      </c>
      <c r="N1091">
        <v>1</v>
      </c>
      <c r="O1091">
        <v>7</v>
      </c>
      <c r="P1091">
        <v>1</v>
      </c>
      <c r="Q1091" t="s">
        <v>3</v>
      </c>
    </row>
    <row r="1092" spans="1:17">
      <c r="A1092" t="s">
        <v>1021</v>
      </c>
      <c r="B1092" t="s">
        <v>966</v>
      </c>
      <c r="C1092">
        <v>8.9999999999999993E-3</v>
      </c>
      <c r="D1092" t="s">
        <v>6</v>
      </c>
      <c r="E1092" t="s">
        <v>1028</v>
      </c>
      <c r="F1092" t="s">
        <v>964</v>
      </c>
      <c r="H1092">
        <v>999.99900000000002</v>
      </c>
      <c r="K1092">
        <v>107462091</v>
      </c>
      <c r="L1092" s="2">
        <v>45187</v>
      </c>
      <c r="M1092">
        <v>30</v>
      </c>
      <c r="N1092">
        <v>1</v>
      </c>
      <c r="O1092">
        <v>0</v>
      </c>
      <c r="P1092">
        <v>1</v>
      </c>
      <c r="Q1092" t="s">
        <v>3</v>
      </c>
    </row>
    <row r="1093" spans="1:17">
      <c r="A1093" t="s">
        <v>1021</v>
      </c>
      <c r="B1093" t="s">
        <v>966</v>
      </c>
      <c r="C1093">
        <v>0</v>
      </c>
      <c r="E1093" t="s">
        <v>1028</v>
      </c>
      <c r="H1093">
        <v>999.99900000000002</v>
      </c>
      <c r="K1093">
        <v>106802146</v>
      </c>
      <c r="L1093" s="2">
        <v>44395</v>
      </c>
      <c r="M1093">
        <v>1</v>
      </c>
      <c r="N1093">
        <v>1</v>
      </c>
      <c r="O1093">
        <v>7</v>
      </c>
      <c r="P1093">
        <v>1</v>
      </c>
      <c r="Q1093" t="s">
        <v>7</v>
      </c>
    </row>
    <row r="1094" spans="1:17">
      <c r="A1094" t="s">
        <v>1021</v>
      </c>
      <c r="B1094" t="s">
        <v>966</v>
      </c>
      <c r="C1094">
        <v>4.1000000000000002E-2</v>
      </c>
      <c r="D1094" t="s">
        <v>6</v>
      </c>
      <c r="E1094" t="s">
        <v>1147</v>
      </c>
      <c r="F1094" t="s">
        <v>1050</v>
      </c>
      <c r="H1094">
        <v>999.99900000000002</v>
      </c>
      <c r="K1094">
        <v>105240099</v>
      </c>
      <c r="L1094" s="2">
        <v>43001</v>
      </c>
      <c r="M1094">
        <v>1</v>
      </c>
      <c r="N1094">
        <v>1</v>
      </c>
      <c r="O1094">
        <v>0</v>
      </c>
      <c r="P1094">
        <v>1</v>
      </c>
      <c r="Q1094" t="s">
        <v>3</v>
      </c>
    </row>
    <row r="1095" spans="1:17">
      <c r="A1095" t="s">
        <v>1021</v>
      </c>
      <c r="B1095" t="s">
        <v>966</v>
      </c>
      <c r="C1095">
        <v>4.4999999999999998E-2</v>
      </c>
      <c r="D1095" t="s">
        <v>6</v>
      </c>
      <c r="E1095" t="s">
        <v>1177</v>
      </c>
      <c r="F1095" t="s">
        <v>1102</v>
      </c>
      <c r="H1095">
        <v>999.99900000000002</v>
      </c>
      <c r="K1095">
        <v>107994044</v>
      </c>
      <c r="L1095" s="2">
        <v>45675</v>
      </c>
      <c r="M1095">
        <v>1</v>
      </c>
      <c r="N1095">
        <v>1</v>
      </c>
      <c r="O1095">
        <v>0</v>
      </c>
      <c r="P1095">
        <v>5</v>
      </c>
      <c r="Q1095" t="s">
        <v>8</v>
      </c>
    </row>
    <row r="1096" spans="1:17">
      <c r="A1096" t="s">
        <v>1021</v>
      </c>
      <c r="B1096" t="s">
        <v>1052</v>
      </c>
      <c r="C1096">
        <v>3.0000000000000001E-3</v>
      </c>
      <c r="D1096" t="s">
        <v>757</v>
      </c>
      <c r="E1096" t="s">
        <v>965</v>
      </c>
      <c r="F1096" t="s">
        <v>1053</v>
      </c>
      <c r="H1096">
        <v>999.99900000000002</v>
      </c>
      <c r="K1096">
        <v>106892028</v>
      </c>
      <c r="L1096" s="2">
        <v>44633</v>
      </c>
      <c r="M1096">
        <v>20</v>
      </c>
      <c r="N1096">
        <v>10</v>
      </c>
      <c r="O1096">
        <v>0</v>
      </c>
      <c r="P1096">
        <v>8</v>
      </c>
    </row>
    <row r="1097" spans="1:17">
      <c r="A1097" t="s">
        <v>1021</v>
      </c>
      <c r="B1097" t="s">
        <v>1052</v>
      </c>
      <c r="C1097">
        <v>1.0999999999999999E-2</v>
      </c>
      <c r="D1097" t="s">
        <v>757</v>
      </c>
      <c r="E1097" t="s">
        <v>965</v>
      </c>
      <c r="F1097" t="s">
        <v>1053</v>
      </c>
      <c r="H1097">
        <v>999.99900000000002</v>
      </c>
      <c r="K1097">
        <v>105372615</v>
      </c>
      <c r="L1097" s="2">
        <v>43103</v>
      </c>
      <c r="M1097">
        <v>30</v>
      </c>
      <c r="N1097">
        <v>4</v>
      </c>
      <c r="O1097">
        <v>8</v>
      </c>
      <c r="P1097">
        <v>5</v>
      </c>
      <c r="Q1097" t="s">
        <v>7</v>
      </c>
    </row>
    <row r="1098" spans="1:17">
      <c r="A1098" t="s">
        <v>1021</v>
      </c>
      <c r="B1098" t="s">
        <v>1052</v>
      </c>
      <c r="C1098">
        <v>8.9999999999999993E-3</v>
      </c>
      <c r="D1098" t="s">
        <v>757</v>
      </c>
      <c r="E1098" t="s">
        <v>962</v>
      </c>
      <c r="F1098" t="s">
        <v>1053</v>
      </c>
      <c r="H1098">
        <v>999.99900000000002</v>
      </c>
      <c r="K1098">
        <v>107505077</v>
      </c>
      <c r="L1098" s="2">
        <v>45211</v>
      </c>
      <c r="M1098">
        <v>32</v>
      </c>
      <c r="N1098">
        <v>1</v>
      </c>
      <c r="O1098">
        <v>0</v>
      </c>
      <c r="P1098">
        <v>1</v>
      </c>
      <c r="Q1098" t="s">
        <v>7</v>
      </c>
    </row>
    <row r="1099" spans="1:17">
      <c r="A1099" t="s">
        <v>970</v>
      </c>
      <c r="B1099" t="s">
        <v>971</v>
      </c>
      <c r="C1099">
        <v>2E-3</v>
      </c>
      <c r="D1099" t="s">
        <v>6</v>
      </c>
      <c r="E1099" t="s">
        <v>965</v>
      </c>
      <c r="F1099" t="s">
        <v>994</v>
      </c>
      <c r="H1099">
        <v>999.99900000000002</v>
      </c>
      <c r="K1099">
        <v>105097137</v>
      </c>
      <c r="L1099" s="2">
        <v>42863</v>
      </c>
      <c r="M1099">
        <v>1</v>
      </c>
      <c r="N1099">
        <v>1</v>
      </c>
      <c r="O1099">
        <v>0</v>
      </c>
      <c r="P1099">
        <v>1</v>
      </c>
      <c r="Q1099" t="s">
        <v>7</v>
      </c>
    </row>
    <row r="1100" spans="1:17">
      <c r="A1100" t="s">
        <v>970</v>
      </c>
      <c r="B1100" t="s">
        <v>965</v>
      </c>
      <c r="C1100">
        <v>0</v>
      </c>
      <c r="E1100" t="s">
        <v>984</v>
      </c>
      <c r="F1100" t="s">
        <v>985</v>
      </c>
      <c r="H1100">
        <v>999.99900000000002</v>
      </c>
      <c r="K1100">
        <v>107814414</v>
      </c>
      <c r="L1100" s="2">
        <v>45512</v>
      </c>
      <c r="M1100">
        <v>30</v>
      </c>
      <c r="N1100">
        <v>2</v>
      </c>
      <c r="O1100">
        <v>0</v>
      </c>
      <c r="P1100">
        <v>1</v>
      </c>
      <c r="Q1100" t="s">
        <v>7</v>
      </c>
    </row>
    <row r="1101" spans="1:17">
      <c r="A1101" t="s">
        <v>970</v>
      </c>
      <c r="B1101" t="s">
        <v>965</v>
      </c>
      <c r="C1101">
        <v>0</v>
      </c>
      <c r="E1101" t="s">
        <v>984</v>
      </c>
      <c r="F1101" t="s">
        <v>978</v>
      </c>
      <c r="H1101">
        <v>999.99900000000002</v>
      </c>
      <c r="K1101">
        <v>107983295</v>
      </c>
      <c r="L1101" s="2">
        <v>45665</v>
      </c>
      <c r="M1101">
        <v>30</v>
      </c>
      <c r="N1101">
        <v>1</v>
      </c>
      <c r="O1101">
        <v>7</v>
      </c>
      <c r="P1101">
        <v>1</v>
      </c>
      <c r="Q1101" t="s">
        <v>7</v>
      </c>
    </row>
    <row r="1102" spans="1:17">
      <c r="A1102" t="s">
        <v>1021</v>
      </c>
      <c r="B1102" t="s">
        <v>965</v>
      </c>
      <c r="C1102">
        <v>0</v>
      </c>
      <c r="D1102" t="s">
        <v>756</v>
      </c>
      <c r="E1102" t="s">
        <v>1179</v>
      </c>
      <c r="F1102" t="s">
        <v>1056</v>
      </c>
      <c r="H1102">
        <v>999.99900000000002</v>
      </c>
      <c r="K1102">
        <v>107745023</v>
      </c>
      <c r="L1102" s="2">
        <v>45451</v>
      </c>
      <c r="M1102">
        <v>21</v>
      </c>
      <c r="N1102">
        <v>1</v>
      </c>
      <c r="O1102">
        <v>0</v>
      </c>
      <c r="P1102">
        <v>1</v>
      </c>
      <c r="Q1102" t="s">
        <v>7</v>
      </c>
    </row>
    <row r="1103" spans="1:17">
      <c r="A1103" t="s">
        <v>970</v>
      </c>
      <c r="B1103" t="s">
        <v>965</v>
      </c>
      <c r="C1103">
        <v>0</v>
      </c>
      <c r="E1103" t="s">
        <v>1001</v>
      </c>
      <c r="F1103" t="s">
        <v>985</v>
      </c>
      <c r="H1103">
        <v>999.99900000000002</v>
      </c>
      <c r="K1103">
        <v>107627154</v>
      </c>
      <c r="L1103" s="2">
        <v>45338</v>
      </c>
      <c r="M1103">
        <v>30</v>
      </c>
      <c r="N1103">
        <v>1</v>
      </c>
      <c r="O1103">
        <v>7</v>
      </c>
      <c r="P1103">
        <v>1</v>
      </c>
      <c r="Q1103" t="s">
        <v>8</v>
      </c>
    </row>
    <row r="1104" spans="1:17">
      <c r="A1104" t="s">
        <v>970</v>
      </c>
      <c r="B1104" t="s">
        <v>965</v>
      </c>
      <c r="C1104">
        <v>0</v>
      </c>
      <c r="E1104" t="s">
        <v>1001</v>
      </c>
      <c r="H1104">
        <v>999.99900000000002</v>
      </c>
      <c r="K1104">
        <v>106369441</v>
      </c>
      <c r="L1104" s="2">
        <v>44119</v>
      </c>
      <c r="M1104">
        <v>30</v>
      </c>
      <c r="N1104">
        <v>1</v>
      </c>
      <c r="O1104">
        <v>0</v>
      </c>
      <c r="P1104">
        <v>1</v>
      </c>
      <c r="Q1104" t="s">
        <v>7</v>
      </c>
    </row>
    <row r="1105" spans="1:28">
      <c r="A1105" t="s">
        <v>970</v>
      </c>
      <c r="B1105" t="s">
        <v>965</v>
      </c>
      <c r="C1105">
        <v>0</v>
      </c>
      <c r="E1105" t="s">
        <v>989</v>
      </c>
      <c r="H1105">
        <v>999.99900000000002</v>
      </c>
      <c r="K1105">
        <v>105335592</v>
      </c>
      <c r="L1105" s="2">
        <v>43083</v>
      </c>
      <c r="M1105">
        <v>30</v>
      </c>
      <c r="N1105">
        <v>1</v>
      </c>
      <c r="O1105">
        <v>0</v>
      </c>
      <c r="P1105">
        <v>1</v>
      </c>
      <c r="Q1105" t="s">
        <v>7</v>
      </c>
    </row>
    <row r="1106" spans="1:28">
      <c r="A1106" t="s">
        <v>970</v>
      </c>
      <c r="B1106" t="s">
        <v>965</v>
      </c>
      <c r="C1106">
        <v>0</v>
      </c>
      <c r="E1106" t="s">
        <v>996</v>
      </c>
      <c r="F1106" t="s">
        <v>975</v>
      </c>
      <c r="H1106">
        <v>999.99900000000002</v>
      </c>
      <c r="K1106">
        <v>105719359</v>
      </c>
      <c r="L1106" s="2">
        <v>43458</v>
      </c>
      <c r="M1106">
        <v>30</v>
      </c>
      <c r="N1106">
        <v>1</v>
      </c>
      <c r="O1106">
        <v>8</v>
      </c>
      <c r="P1106">
        <v>1</v>
      </c>
      <c r="Q1106" t="s">
        <v>7</v>
      </c>
    </row>
    <row r="1107" spans="1:28">
      <c r="A1107" t="s">
        <v>1021</v>
      </c>
      <c r="B1107" t="s">
        <v>965</v>
      </c>
      <c r="C1107">
        <v>4.0000000000000001E-3</v>
      </c>
      <c r="D1107" t="s">
        <v>758</v>
      </c>
      <c r="E1107" t="s">
        <v>1125</v>
      </c>
      <c r="F1107" t="s">
        <v>968</v>
      </c>
      <c r="H1107">
        <v>999.99900000000002</v>
      </c>
      <c r="J1107" t="s">
        <v>1208</v>
      </c>
      <c r="K1107">
        <v>106363268</v>
      </c>
      <c r="L1107" s="2">
        <v>44078</v>
      </c>
      <c r="M1107">
        <v>21</v>
      </c>
      <c r="N1107">
        <v>1</v>
      </c>
      <c r="O1107">
        <v>7</v>
      </c>
      <c r="P1107">
        <v>5</v>
      </c>
      <c r="Q1107" t="s">
        <v>7</v>
      </c>
      <c r="W1107" t="s">
        <v>1331</v>
      </c>
      <c r="X1107" t="s">
        <v>1332</v>
      </c>
      <c r="AB1107" t="s">
        <v>1333</v>
      </c>
    </row>
    <row r="1108" spans="1:28">
      <c r="A1108" t="s">
        <v>970</v>
      </c>
      <c r="B1108" t="s">
        <v>965</v>
      </c>
      <c r="C1108">
        <v>0</v>
      </c>
      <c r="E1108" t="s">
        <v>978</v>
      </c>
      <c r="F1108" t="s">
        <v>980</v>
      </c>
      <c r="H1108">
        <v>999.99900000000002</v>
      </c>
      <c r="K1108">
        <v>107331336</v>
      </c>
      <c r="L1108" s="2">
        <v>45057</v>
      </c>
      <c r="M1108">
        <v>30</v>
      </c>
      <c r="N1108">
        <v>1</v>
      </c>
      <c r="O1108">
        <v>7</v>
      </c>
      <c r="P1108">
        <v>1</v>
      </c>
      <c r="Q1108" t="s">
        <v>7</v>
      </c>
    </row>
    <row r="1109" spans="1:28">
      <c r="A1109" t="s">
        <v>970</v>
      </c>
      <c r="B1109" t="s">
        <v>965</v>
      </c>
      <c r="C1109">
        <v>0</v>
      </c>
      <c r="E1109" t="s">
        <v>978</v>
      </c>
      <c r="F1109" t="s">
        <v>1014</v>
      </c>
      <c r="H1109">
        <v>999.99900000000002</v>
      </c>
      <c r="K1109">
        <v>108327242</v>
      </c>
      <c r="L1109" s="2">
        <v>45993</v>
      </c>
      <c r="M1109">
        <v>30</v>
      </c>
      <c r="N1109">
        <v>2</v>
      </c>
      <c r="O1109">
        <v>7</v>
      </c>
      <c r="P1109">
        <v>1</v>
      </c>
      <c r="Q1109" t="s">
        <v>7</v>
      </c>
    </row>
    <row r="1110" spans="1:28">
      <c r="A1110" t="s">
        <v>970</v>
      </c>
      <c r="B1110" t="s">
        <v>965</v>
      </c>
      <c r="C1110">
        <v>9.5000000000000001E-2</v>
      </c>
      <c r="D1110" t="s">
        <v>765</v>
      </c>
      <c r="E1110" t="s">
        <v>1005</v>
      </c>
      <c r="F1110" t="s">
        <v>981</v>
      </c>
      <c r="H1110">
        <v>999.99900000000002</v>
      </c>
      <c r="K1110">
        <v>106922899</v>
      </c>
      <c r="L1110" s="2">
        <v>44665</v>
      </c>
      <c r="M1110">
        <v>25</v>
      </c>
      <c r="N1110">
        <v>1</v>
      </c>
      <c r="O1110">
        <v>0</v>
      </c>
      <c r="P1110">
        <v>1</v>
      </c>
      <c r="Q1110" t="s">
        <v>7</v>
      </c>
    </row>
    <row r="1111" spans="1:28">
      <c r="A1111" t="s">
        <v>1021</v>
      </c>
      <c r="B1111" t="s">
        <v>965</v>
      </c>
      <c r="C1111">
        <v>0</v>
      </c>
      <c r="E1111" t="s">
        <v>1189</v>
      </c>
      <c r="F1111" t="s">
        <v>1032</v>
      </c>
      <c r="H1111">
        <v>999.99900000000002</v>
      </c>
      <c r="K1111">
        <v>108334357</v>
      </c>
      <c r="L1111" s="2">
        <v>46003</v>
      </c>
      <c r="M1111">
        <v>15</v>
      </c>
      <c r="N1111">
        <v>1</v>
      </c>
      <c r="O1111">
        <v>8</v>
      </c>
      <c r="P1111">
        <v>1</v>
      </c>
      <c r="Q1111" t="s">
        <v>3</v>
      </c>
      <c r="R1111">
        <v>35.169499999999999</v>
      </c>
      <c r="S1111">
        <v>-79.404360999999994</v>
      </c>
      <c r="T1111" t="s">
        <v>1060</v>
      </c>
      <c r="U1111" t="s">
        <v>367</v>
      </c>
      <c r="V1111">
        <v>1.4618</v>
      </c>
    </row>
    <row r="1112" spans="1:28">
      <c r="A1112" t="s">
        <v>970</v>
      </c>
      <c r="B1112" t="s">
        <v>965</v>
      </c>
      <c r="C1112">
        <v>5.0000000000000001E-3</v>
      </c>
      <c r="D1112" t="s">
        <v>756</v>
      </c>
      <c r="E1112" t="s">
        <v>1015</v>
      </c>
      <c r="F1112" t="s">
        <v>976</v>
      </c>
      <c r="H1112">
        <v>999.99900000000002</v>
      </c>
      <c r="K1112">
        <v>108396073</v>
      </c>
      <c r="L1112" s="2">
        <v>46056</v>
      </c>
      <c r="M1112">
        <v>19</v>
      </c>
      <c r="N1112">
        <v>2</v>
      </c>
      <c r="O1112">
        <v>22</v>
      </c>
      <c r="P1112">
        <v>1</v>
      </c>
      <c r="Q1112" t="s">
        <v>7</v>
      </c>
    </row>
    <row r="1113" spans="1:28">
      <c r="A1113" t="s">
        <v>1021</v>
      </c>
      <c r="B1113" t="s">
        <v>965</v>
      </c>
      <c r="C1113">
        <v>0</v>
      </c>
      <c r="E1113" t="s">
        <v>1138</v>
      </c>
      <c r="F1113" t="s">
        <v>1033</v>
      </c>
      <c r="H1113">
        <v>999.99900000000002</v>
      </c>
      <c r="K1113">
        <v>106802271</v>
      </c>
      <c r="L1113" s="2">
        <v>44470</v>
      </c>
      <c r="M1113">
        <v>30</v>
      </c>
      <c r="N1113">
        <v>1</v>
      </c>
      <c r="O1113">
        <v>7</v>
      </c>
      <c r="P1113">
        <v>4</v>
      </c>
      <c r="Q1113" t="s">
        <v>7</v>
      </c>
    </row>
    <row r="1114" spans="1:28">
      <c r="A1114" t="s">
        <v>1021</v>
      </c>
      <c r="B1114" t="s">
        <v>965</v>
      </c>
      <c r="C1114">
        <v>7.0000000000000007E-2</v>
      </c>
      <c r="D1114" t="s">
        <v>765</v>
      </c>
      <c r="E1114" t="s">
        <v>1193</v>
      </c>
      <c r="F1114" t="s">
        <v>1032</v>
      </c>
      <c r="H1114">
        <v>999.99900000000002</v>
      </c>
      <c r="K1114">
        <v>108241242</v>
      </c>
      <c r="L1114" s="2">
        <v>45922</v>
      </c>
      <c r="M1114">
        <v>30</v>
      </c>
      <c r="N1114">
        <v>1</v>
      </c>
      <c r="O1114">
        <v>7</v>
      </c>
      <c r="P1114">
        <v>1</v>
      </c>
      <c r="Q1114" t="s">
        <v>7</v>
      </c>
    </row>
    <row r="1115" spans="1:28">
      <c r="A1115" t="s">
        <v>1021</v>
      </c>
      <c r="B1115" t="s">
        <v>965</v>
      </c>
      <c r="C1115">
        <v>0</v>
      </c>
      <c r="E1115" t="s">
        <v>1157</v>
      </c>
      <c r="F1115" t="s">
        <v>1064</v>
      </c>
      <c r="H1115">
        <v>999.99900000000002</v>
      </c>
      <c r="K1115">
        <v>107046533</v>
      </c>
      <c r="L1115" s="2">
        <v>44787</v>
      </c>
      <c r="M1115">
        <v>30</v>
      </c>
      <c r="N1115">
        <v>1</v>
      </c>
      <c r="O1115">
        <v>8</v>
      </c>
      <c r="P1115">
        <v>5</v>
      </c>
      <c r="Q1115" t="s">
        <v>8</v>
      </c>
    </row>
    <row r="1116" spans="1:28">
      <c r="A1116" t="s">
        <v>1021</v>
      </c>
      <c r="B1116" t="s">
        <v>965</v>
      </c>
      <c r="C1116">
        <v>0</v>
      </c>
      <c r="E1116" t="s">
        <v>1196</v>
      </c>
      <c r="F1116" t="s">
        <v>1098</v>
      </c>
      <c r="H1116">
        <v>999.99900000000002</v>
      </c>
      <c r="K1116">
        <v>108464424</v>
      </c>
      <c r="L1116" s="2">
        <v>46125</v>
      </c>
      <c r="M1116">
        <v>21</v>
      </c>
      <c r="N1116">
        <v>1</v>
      </c>
      <c r="O1116">
        <v>9</v>
      </c>
      <c r="P1116">
        <v>1</v>
      </c>
      <c r="Q1116" t="s">
        <v>7</v>
      </c>
    </row>
    <row r="1117" spans="1:28">
      <c r="A1117" t="s">
        <v>1021</v>
      </c>
      <c r="B1117" t="s">
        <v>965</v>
      </c>
      <c r="C1117">
        <v>9.1999999999999998E-2</v>
      </c>
      <c r="D1117" t="s">
        <v>756</v>
      </c>
      <c r="E1117" t="s">
        <v>1200</v>
      </c>
      <c r="F1117" t="s">
        <v>1201</v>
      </c>
      <c r="H1117">
        <v>999.99900000000002</v>
      </c>
      <c r="K1117">
        <v>108562730</v>
      </c>
      <c r="L1117" s="2">
        <v>46221</v>
      </c>
      <c r="M1117">
        <v>21</v>
      </c>
      <c r="N1117">
        <v>1</v>
      </c>
      <c r="O1117">
        <v>0</v>
      </c>
      <c r="P1117">
        <v>1</v>
      </c>
      <c r="Q1117" t="s">
        <v>7</v>
      </c>
    </row>
    <row r="1118" spans="1:28">
      <c r="A1118" t="s">
        <v>970</v>
      </c>
      <c r="B1118" t="s">
        <v>965</v>
      </c>
      <c r="C1118">
        <v>0.02</v>
      </c>
      <c r="D1118" t="s">
        <v>756</v>
      </c>
      <c r="E1118" t="s">
        <v>999</v>
      </c>
      <c r="F1118" t="s">
        <v>971</v>
      </c>
      <c r="H1118">
        <v>999.99900000000002</v>
      </c>
      <c r="K1118">
        <v>106304131</v>
      </c>
      <c r="L1118" s="2">
        <v>44053</v>
      </c>
      <c r="M1118">
        <v>2</v>
      </c>
      <c r="N1118">
        <v>2</v>
      </c>
      <c r="O1118">
        <v>0</v>
      </c>
      <c r="P1118">
        <v>5</v>
      </c>
      <c r="Q1118" t="s">
        <v>7</v>
      </c>
    </row>
    <row r="1119" spans="1:28">
      <c r="A1119" t="s">
        <v>1021</v>
      </c>
      <c r="B1119" t="s">
        <v>965</v>
      </c>
      <c r="C1119">
        <v>0</v>
      </c>
      <c r="E1119" t="s">
        <v>1074</v>
      </c>
      <c r="F1119" t="s">
        <v>1026</v>
      </c>
      <c r="H1119">
        <v>999.99900000000002</v>
      </c>
      <c r="K1119">
        <v>105028147</v>
      </c>
      <c r="L1119" s="2">
        <v>42776</v>
      </c>
      <c r="M1119">
        <v>21</v>
      </c>
      <c r="N1119">
        <v>1</v>
      </c>
      <c r="O1119">
        <v>7</v>
      </c>
      <c r="P1119">
        <v>2</v>
      </c>
      <c r="Q1119" t="s">
        <v>7</v>
      </c>
    </row>
    <row r="1120" spans="1:28">
      <c r="A1120" t="s">
        <v>1021</v>
      </c>
      <c r="B1120" t="s">
        <v>965</v>
      </c>
      <c r="C1120">
        <v>0</v>
      </c>
      <c r="E1120" t="s">
        <v>1095</v>
      </c>
      <c r="F1120" t="s">
        <v>965</v>
      </c>
      <c r="H1120">
        <v>999.99900000000002</v>
      </c>
      <c r="K1120">
        <v>105544125</v>
      </c>
      <c r="L1120" s="2">
        <v>43294</v>
      </c>
      <c r="M1120">
        <v>23</v>
      </c>
      <c r="N1120">
        <v>1</v>
      </c>
      <c r="O1120">
        <v>7</v>
      </c>
      <c r="P1120">
        <v>4</v>
      </c>
      <c r="Q1120" t="s">
        <v>7</v>
      </c>
    </row>
    <row r="1121" spans="1:17">
      <c r="A1121" t="s">
        <v>1021</v>
      </c>
      <c r="B1121" t="s">
        <v>965</v>
      </c>
      <c r="C1121">
        <v>0</v>
      </c>
      <c r="D1121" t="s">
        <v>758</v>
      </c>
      <c r="E1121" t="s">
        <v>986</v>
      </c>
      <c r="F1121" t="s">
        <v>975</v>
      </c>
      <c r="H1121">
        <v>999.99900000000002</v>
      </c>
      <c r="K1121">
        <v>108247888</v>
      </c>
      <c r="L1121" s="2">
        <v>45929</v>
      </c>
      <c r="M1121">
        <v>28</v>
      </c>
      <c r="N1121">
        <v>2</v>
      </c>
      <c r="O1121">
        <v>0</v>
      </c>
      <c r="P1121">
        <v>1</v>
      </c>
      <c r="Q1121" t="s">
        <v>7</v>
      </c>
    </row>
    <row r="1122" spans="1:17">
      <c r="A1122" t="s">
        <v>1021</v>
      </c>
      <c r="B1122" t="s">
        <v>965</v>
      </c>
      <c r="C1122">
        <v>8.9999999999999993E-3</v>
      </c>
      <c r="D1122" t="s">
        <v>756</v>
      </c>
      <c r="E1122" t="s">
        <v>986</v>
      </c>
      <c r="F1122" t="s">
        <v>968</v>
      </c>
      <c r="H1122">
        <v>999.99900000000002</v>
      </c>
      <c r="K1122">
        <v>108566465</v>
      </c>
      <c r="L1122" s="2">
        <v>46225</v>
      </c>
      <c r="M1122">
        <v>28</v>
      </c>
      <c r="N1122">
        <v>1</v>
      </c>
      <c r="O1122">
        <v>0</v>
      </c>
      <c r="P1122">
        <v>1</v>
      </c>
      <c r="Q1122" t="s">
        <v>7</v>
      </c>
    </row>
    <row r="1123" spans="1:17">
      <c r="A1123" t="s">
        <v>1021</v>
      </c>
      <c r="B1123" t="s">
        <v>965</v>
      </c>
      <c r="C1123">
        <v>1.9E-2</v>
      </c>
      <c r="D1123" t="s">
        <v>758</v>
      </c>
      <c r="E1123" t="s">
        <v>1066</v>
      </c>
      <c r="F1123" t="s">
        <v>1052</v>
      </c>
      <c r="H1123">
        <v>999.99900000000002</v>
      </c>
      <c r="K1123">
        <v>108048728</v>
      </c>
      <c r="L1123" s="2">
        <v>45732</v>
      </c>
      <c r="M1123">
        <v>19</v>
      </c>
      <c r="N1123">
        <v>2</v>
      </c>
      <c r="O1123">
        <v>0</v>
      </c>
      <c r="P1123">
        <v>1</v>
      </c>
      <c r="Q1123" t="s">
        <v>7</v>
      </c>
    </row>
    <row r="1124" spans="1:17">
      <c r="A1124" t="s">
        <v>1021</v>
      </c>
      <c r="B1124" t="s">
        <v>965</v>
      </c>
      <c r="C1124">
        <v>0</v>
      </c>
      <c r="E1124" t="s">
        <v>1059</v>
      </c>
      <c r="F1124" t="s">
        <v>1054</v>
      </c>
      <c r="H1124">
        <v>999.99900000000002</v>
      </c>
      <c r="K1124">
        <v>107536946</v>
      </c>
      <c r="L1124" s="2">
        <v>45251</v>
      </c>
      <c r="M1124">
        <v>21</v>
      </c>
      <c r="N1124">
        <v>2</v>
      </c>
      <c r="O1124">
        <v>8</v>
      </c>
      <c r="P1124">
        <v>1</v>
      </c>
      <c r="Q1124" t="s">
        <v>7</v>
      </c>
    </row>
    <row r="1125" spans="1:17">
      <c r="A1125" t="s">
        <v>1021</v>
      </c>
      <c r="B1125" t="s">
        <v>965</v>
      </c>
      <c r="C1125">
        <v>0</v>
      </c>
      <c r="E1125" t="s">
        <v>1046</v>
      </c>
      <c r="F1125" t="s">
        <v>968</v>
      </c>
      <c r="H1125">
        <v>999.99900000000002</v>
      </c>
      <c r="K1125">
        <v>107500988</v>
      </c>
      <c r="L1125" s="2">
        <v>45223</v>
      </c>
      <c r="M1125">
        <v>23</v>
      </c>
      <c r="N1125">
        <v>1</v>
      </c>
      <c r="O1125">
        <v>8</v>
      </c>
      <c r="P1125">
        <v>1</v>
      </c>
      <c r="Q1125" t="s">
        <v>8</v>
      </c>
    </row>
    <row r="1126" spans="1:17">
      <c r="A1126" t="s">
        <v>1021</v>
      </c>
      <c r="B1126" t="s">
        <v>1087</v>
      </c>
      <c r="C1126">
        <v>0</v>
      </c>
      <c r="D1126" t="s">
        <v>763</v>
      </c>
      <c r="E1126" t="s">
        <v>966</v>
      </c>
      <c r="F1126" t="s">
        <v>1050</v>
      </c>
      <c r="H1126">
        <v>999.99900000000002</v>
      </c>
      <c r="K1126">
        <v>105465442</v>
      </c>
      <c r="L1126" s="2">
        <v>43207</v>
      </c>
      <c r="M1126">
        <v>30</v>
      </c>
      <c r="N1126">
        <v>1</v>
      </c>
      <c r="O1126">
        <v>8</v>
      </c>
      <c r="P1126">
        <v>1</v>
      </c>
      <c r="Q1126" t="s">
        <v>7</v>
      </c>
    </row>
    <row r="1127" spans="1:17">
      <c r="A1127" t="s">
        <v>1021</v>
      </c>
      <c r="B1127" t="s">
        <v>1028</v>
      </c>
      <c r="C1127">
        <v>0</v>
      </c>
      <c r="E1127" t="s">
        <v>966</v>
      </c>
      <c r="F1127" t="s">
        <v>1050</v>
      </c>
      <c r="H1127">
        <v>999.99900000000002</v>
      </c>
      <c r="K1127">
        <v>105894326</v>
      </c>
      <c r="L1127" s="2">
        <v>43613</v>
      </c>
      <c r="M1127">
        <v>24</v>
      </c>
      <c r="N1127">
        <v>1</v>
      </c>
      <c r="O1127">
        <v>7</v>
      </c>
      <c r="P1127">
        <v>1</v>
      </c>
      <c r="Q1127" t="s">
        <v>7</v>
      </c>
    </row>
    <row r="1128" spans="1:17">
      <c r="A1128" t="s">
        <v>1021</v>
      </c>
      <c r="B1128" t="s">
        <v>1028</v>
      </c>
      <c r="C1128">
        <v>0</v>
      </c>
      <c r="E1128" t="s">
        <v>966</v>
      </c>
      <c r="F1128" t="s">
        <v>1028</v>
      </c>
      <c r="H1128">
        <v>999.99900000000002</v>
      </c>
      <c r="K1128">
        <v>108429578</v>
      </c>
      <c r="L1128" s="2">
        <v>46094</v>
      </c>
      <c r="M1128">
        <v>30</v>
      </c>
      <c r="N1128">
        <v>1</v>
      </c>
      <c r="O1128">
        <v>8</v>
      </c>
      <c r="P1128">
        <v>1</v>
      </c>
      <c r="Q1128" t="s">
        <v>3</v>
      </c>
    </row>
    <row r="1129" spans="1:17">
      <c r="A1129" t="s">
        <v>1021</v>
      </c>
      <c r="B1129" t="s">
        <v>1028</v>
      </c>
      <c r="C1129">
        <v>2E-3</v>
      </c>
      <c r="D1129" t="s">
        <v>6</v>
      </c>
      <c r="E1129" t="s">
        <v>966</v>
      </c>
      <c r="F1129" t="s">
        <v>1029</v>
      </c>
      <c r="H1129">
        <v>999.99900000000002</v>
      </c>
      <c r="K1129">
        <v>107530829</v>
      </c>
      <c r="L1129" s="2">
        <v>45247</v>
      </c>
      <c r="M1129">
        <v>21</v>
      </c>
      <c r="N1129">
        <v>1</v>
      </c>
      <c r="O1129">
        <v>7</v>
      </c>
      <c r="P1129">
        <v>1</v>
      </c>
      <c r="Q1129" t="s">
        <v>3</v>
      </c>
    </row>
    <row r="1130" spans="1:17">
      <c r="A1130" t="s">
        <v>1021</v>
      </c>
      <c r="B1130" t="s">
        <v>1029</v>
      </c>
      <c r="C1130">
        <v>1.9E-2</v>
      </c>
      <c r="D1130" t="s">
        <v>756</v>
      </c>
      <c r="E1130" t="s">
        <v>967</v>
      </c>
      <c r="F1130" t="s">
        <v>1049</v>
      </c>
      <c r="H1130">
        <v>999.99900000000002</v>
      </c>
      <c r="K1130">
        <v>108479797</v>
      </c>
      <c r="L1130" s="2">
        <v>46140</v>
      </c>
      <c r="M1130">
        <v>19</v>
      </c>
      <c r="N1130">
        <v>1</v>
      </c>
      <c r="O1130">
        <v>0</v>
      </c>
      <c r="P1130">
        <v>1</v>
      </c>
      <c r="Q1130" t="s">
        <v>7</v>
      </c>
    </row>
    <row r="1131" spans="1:17">
      <c r="A1131" t="s">
        <v>1021</v>
      </c>
      <c r="B1131" t="s">
        <v>1029</v>
      </c>
      <c r="C1131">
        <v>1.9E-2</v>
      </c>
      <c r="D1131" t="s">
        <v>756</v>
      </c>
      <c r="E1131" t="s">
        <v>967</v>
      </c>
      <c r="F1131" t="s">
        <v>1164</v>
      </c>
      <c r="H1131">
        <v>999.99900000000002</v>
      </c>
      <c r="K1131">
        <v>108474754</v>
      </c>
      <c r="L1131" s="2">
        <v>46134</v>
      </c>
      <c r="M1131">
        <v>19</v>
      </c>
      <c r="N1131">
        <v>1</v>
      </c>
      <c r="O1131">
        <v>0</v>
      </c>
      <c r="P1131">
        <v>1</v>
      </c>
      <c r="Q1131" t="s">
        <v>7</v>
      </c>
    </row>
    <row r="1132" spans="1:17">
      <c r="A1132" t="s">
        <v>1021</v>
      </c>
      <c r="B1132" t="s">
        <v>1029</v>
      </c>
      <c r="C1132">
        <v>1.4E-2</v>
      </c>
      <c r="D1132" t="s">
        <v>756</v>
      </c>
      <c r="E1132" t="s">
        <v>967</v>
      </c>
      <c r="F1132" t="s">
        <v>1164</v>
      </c>
      <c r="H1132">
        <v>999.99900000000002</v>
      </c>
      <c r="K1132">
        <v>108550636</v>
      </c>
      <c r="L1132" s="2">
        <v>46207</v>
      </c>
      <c r="M1132">
        <v>19</v>
      </c>
      <c r="N1132">
        <v>1</v>
      </c>
      <c r="O1132">
        <v>25</v>
      </c>
      <c r="P1132">
        <v>1</v>
      </c>
      <c r="Q1132" t="s">
        <v>7</v>
      </c>
    </row>
    <row r="1133" spans="1:17">
      <c r="A1133" t="s">
        <v>1021</v>
      </c>
      <c r="B1133" t="s">
        <v>1198</v>
      </c>
      <c r="C1133">
        <v>0</v>
      </c>
      <c r="E1133" t="s">
        <v>965</v>
      </c>
      <c r="F1133" t="s">
        <v>968</v>
      </c>
      <c r="H1133">
        <v>999.99900000000002</v>
      </c>
      <c r="K1133">
        <v>108606538</v>
      </c>
      <c r="L1133" s="2">
        <v>46265</v>
      </c>
      <c r="M1133">
        <v>28</v>
      </c>
      <c r="N1133">
        <v>1</v>
      </c>
      <c r="O1133">
        <v>4</v>
      </c>
      <c r="P1133">
        <v>1</v>
      </c>
      <c r="Q1133" t="s">
        <v>7</v>
      </c>
    </row>
    <row r="1134" spans="1:17">
      <c r="A1134" t="s">
        <v>1021</v>
      </c>
      <c r="B1134" t="s">
        <v>1184</v>
      </c>
      <c r="C1134">
        <v>1.9E-2</v>
      </c>
      <c r="D1134" t="s">
        <v>765</v>
      </c>
      <c r="E1134" t="s">
        <v>965</v>
      </c>
      <c r="F1134" t="s">
        <v>968</v>
      </c>
      <c r="H1134">
        <v>999.99900000000002</v>
      </c>
      <c r="K1134">
        <v>108237366</v>
      </c>
      <c r="L1134" s="2">
        <v>45920</v>
      </c>
      <c r="M1134">
        <v>20</v>
      </c>
      <c r="N1134">
        <v>1</v>
      </c>
      <c r="O1134">
        <v>0</v>
      </c>
      <c r="P1134">
        <v>1</v>
      </c>
    </row>
    <row r="1135" spans="1:17">
      <c r="A1135" t="s">
        <v>1021</v>
      </c>
      <c r="B1135" t="s">
        <v>1047</v>
      </c>
      <c r="C1135">
        <v>1.4E-2</v>
      </c>
      <c r="D1135" t="s">
        <v>757</v>
      </c>
      <c r="E1135" t="s">
        <v>965</v>
      </c>
      <c r="F1135" t="s">
        <v>968</v>
      </c>
      <c r="H1135">
        <v>999.99900000000002</v>
      </c>
      <c r="K1135">
        <v>108173169</v>
      </c>
      <c r="L1135" s="2">
        <v>45836</v>
      </c>
      <c r="M1135">
        <v>19</v>
      </c>
      <c r="N1135">
        <v>1</v>
      </c>
      <c r="O1135">
        <v>4</v>
      </c>
      <c r="P1135">
        <v>4</v>
      </c>
      <c r="Q1135" t="s">
        <v>7</v>
      </c>
    </row>
    <row r="1136" spans="1:17">
      <c r="A1136" t="s">
        <v>1021</v>
      </c>
      <c r="B1136" t="s">
        <v>1114</v>
      </c>
      <c r="C1136">
        <v>0</v>
      </c>
      <c r="D1136" t="s">
        <v>758</v>
      </c>
      <c r="E1136" t="s">
        <v>967</v>
      </c>
      <c r="F1136" t="s">
        <v>968</v>
      </c>
      <c r="H1136">
        <v>999.99900000000002</v>
      </c>
      <c r="K1136">
        <v>106064195</v>
      </c>
      <c r="L1136" s="2">
        <v>43767</v>
      </c>
      <c r="M1136">
        <v>0</v>
      </c>
      <c r="N1136">
        <v>1</v>
      </c>
      <c r="O1136">
        <v>0</v>
      </c>
      <c r="P1136">
        <v>1</v>
      </c>
    </row>
    <row r="1137" spans="1:17">
      <c r="A1137" t="s">
        <v>1021</v>
      </c>
      <c r="B1137" t="s">
        <v>1044</v>
      </c>
      <c r="C1137">
        <v>1.9E-2</v>
      </c>
      <c r="D1137" t="s">
        <v>757</v>
      </c>
      <c r="E1137" t="s">
        <v>965</v>
      </c>
      <c r="F1137" t="s">
        <v>967</v>
      </c>
      <c r="H1137">
        <v>999.99900000000002</v>
      </c>
      <c r="K1137">
        <v>108170634</v>
      </c>
      <c r="L1137" s="2">
        <v>45850</v>
      </c>
      <c r="M1137">
        <v>20</v>
      </c>
      <c r="N1137">
        <v>2</v>
      </c>
      <c r="O1137">
        <v>0</v>
      </c>
      <c r="P1137">
        <v>1</v>
      </c>
      <c r="Q1137" t="s">
        <v>7</v>
      </c>
    </row>
    <row r="1138" spans="1:17">
      <c r="A1138" t="s">
        <v>1021</v>
      </c>
      <c r="B1138" t="s">
        <v>1044</v>
      </c>
      <c r="C1138">
        <v>1.9E-2</v>
      </c>
      <c r="D1138" t="s">
        <v>757</v>
      </c>
      <c r="E1138" t="s">
        <v>965</v>
      </c>
      <c r="F1138" t="s">
        <v>967</v>
      </c>
      <c r="H1138">
        <v>999.99900000000002</v>
      </c>
      <c r="K1138">
        <v>107625733</v>
      </c>
      <c r="L1138" s="2">
        <v>45337</v>
      </c>
      <c r="M1138">
        <v>32</v>
      </c>
      <c r="N1138">
        <v>1</v>
      </c>
      <c r="O1138">
        <v>0</v>
      </c>
      <c r="P1138">
        <v>1</v>
      </c>
      <c r="Q1138" t="s">
        <v>7</v>
      </c>
    </row>
    <row r="1139" spans="1:17">
      <c r="A1139" t="s">
        <v>1021</v>
      </c>
      <c r="B1139" t="s">
        <v>1044</v>
      </c>
      <c r="C1139">
        <v>0</v>
      </c>
      <c r="E1139" t="s">
        <v>965</v>
      </c>
      <c r="F1139" t="s">
        <v>965</v>
      </c>
      <c r="H1139">
        <v>999.99900000000002</v>
      </c>
      <c r="K1139">
        <v>105026732</v>
      </c>
      <c r="L1139" s="2">
        <v>42788</v>
      </c>
      <c r="M1139">
        <v>30</v>
      </c>
      <c r="N1139">
        <v>1</v>
      </c>
      <c r="O1139">
        <v>25</v>
      </c>
      <c r="P1139">
        <v>1</v>
      </c>
      <c r="Q1139" t="s">
        <v>3</v>
      </c>
    </row>
    <row r="1140" spans="1:17">
      <c r="A1140" t="s">
        <v>1021</v>
      </c>
      <c r="B1140" t="s">
        <v>1044</v>
      </c>
      <c r="C1140">
        <v>0</v>
      </c>
      <c r="D1140" t="s">
        <v>757</v>
      </c>
      <c r="E1140" t="s">
        <v>965</v>
      </c>
      <c r="F1140" t="s">
        <v>1019</v>
      </c>
      <c r="H1140">
        <v>999.99900000000002</v>
      </c>
      <c r="K1140">
        <v>108048150</v>
      </c>
      <c r="L1140" s="2">
        <v>45730</v>
      </c>
      <c r="M1140">
        <v>30</v>
      </c>
      <c r="N1140">
        <v>1</v>
      </c>
      <c r="O1140">
        <v>0</v>
      </c>
      <c r="P1140">
        <v>1</v>
      </c>
      <c r="Q1140" t="s">
        <v>7</v>
      </c>
    </row>
    <row r="1141" spans="1:17">
      <c r="A1141" t="s">
        <v>1021</v>
      </c>
      <c r="B1141" t="s">
        <v>1044</v>
      </c>
      <c r="C1141">
        <v>0.01</v>
      </c>
      <c r="D1141" t="s">
        <v>757</v>
      </c>
      <c r="E1141" t="s">
        <v>965</v>
      </c>
      <c r="H1141">
        <v>999.99900000000002</v>
      </c>
      <c r="K1141">
        <v>107288112</v>
      </c>
      <c r="L1141" s="2">
        <v>45016</v>
      </c>
      <c r="M1141">
        <v>14</v>
      </c>
      <c r="N1141">
        <v>1</v>
      </c>
      <c r="O1141">
        <v>4</v>
      </c>
      <c r="P1141">
        <v>1</v>
      </c>
      <c r="Q1141" t="s">
        <v>3</v>
      </c>
    </row>
    <row r="1142" spans="1:17">
      <c r="A1142" t="s">
        <v>1021</v>
      </c>
      <c r="B1142" t="s">
        <v>1044</v>
      </c>
      <c r="C1142">
        <v>1.9E-2</v>
      </c>
      <c r="D1142" t="s">
        <v>757</v>
      </c>
      <c r="E1142" t="s">
        <v>965</v>
      </c>
      <c r="H1142">
        <v>999.99900000000002</v>
      </c>
      <c r="K1142">
        <v>107596371</v>
      </c>
      <c r="L1142" s="2">
        <v>45308</v>
      </c>
      <c r="M1142">
        <v>19</v>
      </c>
      <c r="N1142">
        <v>1</v>
      </c>
      <c r="O1142">
        <v>0</v>
      </c>
      <c r="P1142">
        <v>1</v>
      </c>
      <c r="Q1142" t="s">
        <v>7</v>
      </c>
    </row>
    <row r="1143" spans="1:17">
      <c r="A1143" t="s">
        <v>1021</v>
      </c>
      <c r="B1143" t="s">
        <v>1044</v>
      </c>
      <c r="C1143">
        <v>0.01</v>
      </c>
      <c r="D1143" t="s">
        <v>757</v>
      </c>
      <c r="E1143" t="s">
        <v>965</v>
      </c>
      <c r="H1143">
        <v>999.99900000000002</v>
      </c>
      <c r="K1143">
        <v>107592517</v>
      </c>
      <c r="L1143" s="2">
        <v>45302</v>
      </c>
      <c r="M1143">
        <v>20</v>
      </c>
      <c r="N1143">
        <v>1</v>
      </c>
      <c r="O1143">
        <v>0</v>
      </c>
      <c r="P1143">
        <v>1</v>
      </c>
      <c r="Q1143" t="s">
        <v>7</v>
      </c>
    </row>
    <row r="1144" spans="1:17">
      <c r="A1144" t="s">
        <v>1021</v>
      </c>
      <c r="B1144" t="s">
        <v>1065</v>
      </c>
      <c r="C1144">
        <v>0</v>
      </c>
      <c r="E1144" t="s">
        <v>965</v>
      </c>
      <c r="H1144">
        <v>999.99900000000002</v>
      </c>
      <c r="K1144">
        <v>107213554</v>
      </c>
      <c r="L1144" s="2">
        <v>44942</v>
      </c>
      <c r="M1144">
        <v>20</v>
      </c>
      <c r="N1144">
        <v>1</v>
      </c>
      <c r="O1144">
        <v>0</v>
      </c>
      <c r="P1144">
        <v>1</v>
      </c>
      <c r="Q1144" t="s">
        <v>7</v>
      </c>
    </row>
    <row r="1145" spans="1:17">
      <c r="A1145" t="s">
        <v>1021</v>
      </c>
      <c r="B1145" t="s">
        <v>1150</v>
      </c>
      <c r="C1145">
        <v>8.9999999999999993E-3</v>
      </c>
      <c r="D1145" t="s">
        <v>6</v>
      </c>
      <c r="E1145" t="s">
        <v>965</v>
      </c>
      <c r="F1145" t="s">
        <v>1035</v>
      </c>
      <c r="H1145">
        <v>999.99900000000002</v>
      </c>
      <c r="K1145">
        <v>107847002</v>
      </c>
      <c r="L1145" s="2">
        <v>45546</v>
      </c>
      <c r="M1145">
        <v>20</v>
      </c>
      <c r="N1145">
        <v>1</v>
      </c>
      <c r="O1145">
        <v>0</v>
      </c>
      <c r="P1145">
        <v>1</v>
      </c>
    </row>
    <row r="1146" spans="1:17">
      <c r="A1146" t="s">
        <v>1021</v>
      </c>
      <c r="B1146" t="s">
        <v>1150</v>
      </c>
      <c r="C1146">
        <v>2.7E-2</v>
      </c>
      <c r="D1146" t="s">
        <v>6</v>
      </c>
      <c r="E1146" t="s">
        <v>965</v>
      </c>
      <c r="F1146" t="s">
        <v>1035</v>
      </c>
      <c r="H1146">
        <v>999.99900000000002</v>
      </c>
      <c r="K1146">
        <v>107330022</v>
      </c>
      <c r="L1146" s="2">
        <v>45056</v>
      </c>
      <c r="M1146">
        <v>31</v>
      </c>
      <c r="N1146">
        <v>1</v>
      </c>
      <c r="O1146">
        <v>0</v>
      </c>
      <c r="P1146">
        <v>1</v>
      </c>
      <c r="Q1146" t="s">
        <v>7</v>
      </c>
    </row>
    <row r="1147" spans="1:17">
      <c r="A1147" t="s">
        <v>1021</v>
      </c>
      <c r="B1147" t="s">
        <v>1150</v>
      </c>
      <c r="C1147">
        <v>4.0000000000000001E-3</v>
      </c>
      <c r="D1147" t="s">
        <v>6</v>
      </c>
      <c r="E1147" t="s">
        <v>965</v>
      </c>
      <c r="H1147">
        <v>999.99900000000002</v>
      </c>
      <c r="K1147">
        <v>108586879</v>
      </c>
      <c r="L1147" s="2">
        <v>46245</v>
      </c>
      <c r="M1147">
        <v>20</v>
      </c>
      <c r="N1147">
        <v>1</v>
      </c>
      <c r="O1147">
        <v>0</v>
      </c>
      <c r="P1147">
        <v>1</v>
      </c>
    </row>
    <row r="1148" spans="1:17">
      <c r="A1148" t="s">
        <v>1021</v>
      </c>
      <c r="B1148" t="s">
        <v>1150</v>
      </c>
      <c r="C1148">
        <v>5.0000000000000001E-3</v>
      </c>
      <c r="D1148" t="s">
        <v>6</v>
      </c>
      <c r="E1148" t="s">
        <v>965</v>
      </c>
      <c r="H1148">
        <v>999.99900000000002</v>
      </c>
      <c r="K1148">
        <v>107872333</v>
      </c>
      <c r="L1148" s="2">
        <v>45562</v>
      </c>
      <c r="M1148">
        <v>20</v>
      </c>
      <c r="N1148">
        <v>2</v>
      </c>
      <c r="O1148">
        <v>0</v>
      </c>
      <c r="P1148">
        <v>1</v>
      </c>
    </row>
    <row r="1149" spans="1:17">
      <c r="A1149" t="s">
        <v>1021</v>
      </c>
      <c r="B1149" t="s">
        <v>1078</v>
      </c>
      <c r="C1149">
        <v>1.9E-2</v>
      </c>
      <c r="D1149" t="s">
        <v>756</v>
      </c>
      <c r="E1149" t="s">
        <v>967</v>
      </c>
      <c r="F1149" t="s">
        <v>1018</v>
      </c>
      <c r="H1149">
        <v>999.99900000000002</v>
      </c>
      <c r="K1149">
        <v>105277904</v>
      </c>
      <c r="L1149" s="2">
        <v>43033</v>
      </c>
      <c r="M1149">
        <v>21</v>
      </c>
      <c r="N1149">
        <v>1</v>
      </c>
      <c r="O1149">
        <v>0</v>
      </c>
      <c r="P1149">
        <v>4</v>
      </c>
      <c r="Q1149" t="s">
        <v>7</v>
      </c>
    </row>
    <row r="1150" spans="1:17">
      <c r="A1150" t="s">
        <v>1021</v>
      </c>
      <c r="B1150" t="s">
        <v>1121</v>
      </c>
      <c r="C1150">
        <v>4.0000000000000001E-3</v>
      </c>
      <c r="D1150" t="s">
        <v>756</v>
      </c>
      <c r="E1150" t="s">
        <v>967</v>
      </c>
      <c r="F1150" t="s">
        <v>1020</v>
      </c>
      <c r="H1150">
        <v>999.99900000000002</v>
      </c>
      <c r="K1150">
        <v>106125010</v>
      </c>
      <c r="L1150" s="2">
        <v>43808</v>
      </c>
      <c r="M1150">
        <v>24</v>
      </c>
      <c r="N1150">
        <v>1</v>
      </c>
      <c r="O1150">
        <v>8</v>
      </c>
      <c r="P1150">
        <v>1</v>
      </c>
      <c r="Q1150" t="s">
        <v>7</v>
      </c>
    </row>
    <row r="1151" spans="1:17">
      <c r="A1151" t="s">
        <v>1021</v>
      </c>
      <c r="B1151" t="s">
        <v>1169</v>
      </c>
      <c r="C1151">
        <v>0</v>
      </c>
      <c r="E1151" t="s">
        <v>967</v>
      </c>
      <c r="F1151" t="s">
        <v>965</v>
      </c>
      <c r="H1151">
        <v>999.99900000000002</v>
      </c>
      <c r="K1151">
        <v>107453616</v>
      </c>
      <c r="L1151" s="2">
        <v>45180</v>
      </c>
      <c r="M1151">
        <v>23</v>
      </c>
      <c r="N1151">
        <v>1</v>
      </c>
      <c r="O1151">
        <v>0</v>
      </c>
      <c r="P1151">
        <v>1</v>
      </c>
      <c r="Q1151" t="s">
        <v>7</v>
      </c>
    </row>
    <row r="1152" spans="1:17">
      <c r="A1152" t="s">
        <v>1021</v>
      </c>
      <c r="B1152" t="s">
        <v>1112</v>
      </c>
      <c r="C1152">
        <v>8.9999999999999993E-3</v>
      </c>
      <c r="D1152" t="s">
        <v>757</v>
      </c>
      <c r="E1152" t="s">
        <v>965</v>
      </c>
      <c r="F1152" t="s">
        <v>1033</v>
      </c>
      <c r="H1152">
        <v>999.99900000000002</v>
      </c>
      <c r="K1152">
        <v>105864806</v>
      </c>
      <c r="L1152" s="2">
        <v>43571</v>
      </c>
      <c r="M1152">
        <v>30</v>
      </c>
      <c r="N1152">
        <v>1</v>
      </c>
      <c r="O1152">
        <v>0</v>
      </c>
      <c r="P1152">
        <v>1</v>
      </c>
      <c r="Q1152" t="s">
        <v>7</v>
      </c>
    </row>
    <row r="1153" spans="1:17">
      <c r="A1153" t="s">
        <v>1021</v>
      </c>
      <c r="B1153" t="s">
        <v>1112</v>
      </c>
      <c r="C1153">
        <v>2.8000000000000001E-2</v>
      </c>
      <c r="D1153" t="s">
        <v>757</v>
      </c>
      <c r="E1153" t="s">
        <v>965</v>
      </c>
      <c r="F1153" t="s">
        <v>1071</v>
      </c>
      <c r="H1153">
        <v>999.99900000000002</v>
      </c>
      <c r="K1153">
        <v>107267751</v>
      </c>
      <c r="L1153" s="2">
        <v>44994</v>
      </c>
      <c r="M1153">
        <v>20</v>
      </c>
      <c r="N1153">
        <v>1</v>
      </c>
      <c r="O1153">
        <v>0</v>
      </c>
      <c r="P1153">
        <v>1</v>
      </c>
      <c r="Q1153" t="s">
        <v>7</v>
      </c>
    </row>
    <row r="1154" spans="1:17">
      <c r="A1154" t="s">
        <v>1021</v>
      </c>
      <c r="B1154" t="s">
        <v>1188</v>
      </c>
      <c r="C1154">
        <v>1.9E-2</v>
      </c>
      <c r="D1154" t="s">
        <v>757</v>
      </c>
      <c r="E1154" t="s">
        <v>965</v>
      </c>
      <c r="F1154" t="s">
        <v>1018</v>
      </c>
      <c r="H1154">
        <v>999.99900000000002</v>
      </c>
      <c r="K1154">
        <v>108260003</v>
      </c>
      <c r="L1154" s="2">
        <v>45938</v>
      </c>
      <c r="M1154">
        <v>20</v>
      </c>
      <c r="N1154">
        <v>1</v>
      </c>
      <c r="O1154">
        <v>0</v>
      </c>
      <c r="P1154">
        <v>1</v>
      </c>
    </row>
    <row r="1155" spans="1:17">
      <c r="A1155" t="s">
        <v>1021</v>
      </c>
      <c r="B1155" t="s">
        <v>1202</v>
      </c>
      <c r="C1155">
        <v>1.4999999999999999E-2</v>
      </c>
      <c r="D1155" t="s">
        <v>756</v>
      </c>
      <c r="E1155" t="s">
        <v>967</v>
      </c>
      <c r="F1155" t="s">
        <v>965</v>
      </c>
      <c r="H1155">
        <v>999.99900000000002</v>
      </c>
      <c r="K1155">
        <v>108438255</v>
      </c>
      <c r="L1155" s="2">
        <v>46102</v>
      </c>
      <c r="M1155">
        <v>31</v>
      </c>
      <c r="N1155">
        <v>1</v>
      </c>
      <c r="O1155">
        <v>4</v>
      </c>
      <c r="P1155">
        <v>1</v>
      </c>
      <c r="Q1155" t="s">
        <v>7</v>
      </c>
    </row>
    <row r="1156" spans="1:17">
      <c r="A1156" t="s">
        <v>1021</v>
      </c>
      <c r="B1156" t="s">
        <v>1057</v>
      </c>
      <c r="C1156">
        <v>8.0000000000000002E-3</v>
      </c>
      <c r="D1156" t="s">
        <v>756</v>
      </c>
      <c r="E1156" t="s">
        <v>967</v>
      </c>
      <c r="F1156" t="s">
        <v>965</v>
      </c>
      <c r="H1156">
        <v>999.99900000000002</v>
      </c>
      <c r="K1156">
        <v>105056691</v>
      </c>
      <c r="L1156" s="2">
        <v>42819</v>
      </c>
      <c r="M1156">
        <v>30</v>
      </c>
      <c r="N1156">
        <v>1</v>
      </c>
      <c r="O1156">
        <v>4</v>
      </c>
      <c r="P1156">
        <v>4</v>
      </c>
      <c r="Q1156" t="s">
        <v>7</v>
      </c>
    </row>
    <row r="1157" spans="1:17">
      <c r="A1157" t="s">
        <v>1021</v>
      </c>
      <c r="B1157" t="s">
        <v>1057</v>
      </c>
      <c r="C1157">
        <v>1.9E-2</v>
      </c>
      <c r="D1157" t="s">
        <v>756</v>
      </c>
      <c r="E1157" t="s">
        <v>967</v>
      </c>
      <c r="F1157" t="s">
        <v>965</v>
      </c>
      <c r="H1157">
        <v>999.99900000000002</v>
      </c>
      <c r="K1157">
        <v>107834460</v>
      </c>
      <c r="L1157" s="2">
        <v>45534</v>
      </c>
      <c r="M1157">
        <v>30</v>
      </c>
      <c r="N1157">
        <v>1</v>
      </c>
      <c r="O1157">
        <v>4</v>
      </c>
      <c r="P1157">
        <v>1</v>
      </c>
      <c r="Q1157" t="s">
        <v>7</v>
      </c>
    </row>
    <row r="1158" spans="1:17">
      <c r="A1158" t="s">
        <v>1021</v>
      </c>
      <c r="B1158" t="s">
        <v>1057</v>
      </c>
      <c r="C1158">
        <v>1.4999999999999999E-2</v>
      </c>
      <c r="D1158" t="s">
        <v>756</v>
      </c>
      <c r="E1158" t="s">
        <v>967</v>
      </c>
      <c r="F1158" t="s">
        <v>1020</v>
      </c>
      <c r="H1158">
        <v>999.99900000000002</v>
      </c>
      <c r="K1158">
        <v>106578176</v>
      </c>
      <c r="L1158" s="2">
        <v>44280</v>
      </c>
      <c r="M1158">
        <v>19</v>
      </c>
      <c r="N1158">
        <v>1</v>
      </c>
      <c r="O1158">
        <v>4</v>
      </c>
      <c r="P1158">
        <v>1</v>
      </c>
      <c r="Q1158" t="s">
        <v>7</v>
      </c>
    </row>
    <row r="1159" spans="1:17">
      <c r="A1159" t="s">
        <v>1021</v>
      </c>
      <c r="B1159" t="s">
        <v>1057</v>
      </c>
      <c r="C1159">
        <v>1.9E-2</v>
      </c>
      <c r="D1159" t="s">
        <v>757</v>
      </c>
      <c r="E1159" t="s">
        <v>965</v>
      </c>
      <c r="F1159" t="s">
        <v>1018</v>
      </c>
      <c r="H1159">
        <v>999.99900000000002</v>
      </c>
      <c r="K1159">
        <v>108104074</v>
      </c>
      <c r="L1159" s="2">
        <v>45785</v>
      </c>
      <c r="M1159">
        <v>31</v>
      </c>
      <c r="N1159">
        <v>1</v>
      </c>
      <c r="O1159">
        <v>0</v>
      </c>
      <c r="P1159">
        <v>1</v>
      </c>
      <c r="Q1159" t="s">
        <v>7</v>
      </c>
    </row>
    <row r="1160" spans="1:17">
      <c r="A1160" t="s">
        <v>1021</v>
      </c>
      <c r="B1160" t="s">
        <v>1115</v>
      </c>
      <c r="C1160">
        <v>8.0000000000000002E-3</v>
      </c>
      <c r="D1160" t="s">
        <v>758</v>
      </c>
      <c r="E1160" t="s">
        <v>963</v>
      </c>
      <c r="F1160" t="s">
        <v>965</v>
      </c>
      <c r="H1160">
        <v>999.99900000000002</v>
      </c>
      <c r="K1160">
        <v>108329663</v>
      </c>
      <c r="L1160" s="2">
        <v>45996</v>
      </c>
      <c r="M1160">
        <v>20</v>
      </c>
      <c r="N1160">
        <v>2</v>
      </c>
      <c r="O1160">
        <v>0</v>
      </c>
      <c r="P1160">
        <v>1</v>
      </c>
      <c r="Q1160" t="s">
        <v>7</v>
      </c>
    </row>
    <row r="1161" spans="1:17">
      <c r="A1161" t="s">
        <v>1021</v>
      </c>
      <c r="B1161" t="s">
        <v>1115</v>
      </c>
      <c r="C1161">
        <v>1.4999999999999999E-2</v>
      </c>
      <c r="D1161" t="s">
        <v>757</v>
      </c>
      <c r="E1161" t="s">
        <v>963</v>
      </c>
      <c r="F1161" t="s">
        <v>965</v>
      </c>
      <c r="H1161">
        <v>999.99900000000002</v>
      </c>
      <c r="K1161">
        <v>106022000</v>
      </c>
      <c r="L1161" s="2">
        <v>43724</v>
      </c>
      <c r="M1161">
        <v>30</v>
      </c>
      <c r="N1161">
        <v>1</v>
      </c>
      <c r="O1161">
        <v>4</v>
      </c>
      <c r="P1161">
        <v>1</v>
      </c>
      <c r="Q1161" t="s">
        <v>7</v>
      </c>
    </row>
    <row r="1162" spans="1:17">
      <c r="A1162" t="s">
        <v>1021</v>
      </c>
      <c r="B1162" t="s">
        <v>1115</v>
      </c>
      <c r="C1162">
        <v>0</v>
      </c>
      <c r="D1162" t="s">
        <v>6</v>
      </c>
      <c r="E1162" t="s">
        <v>965</v>
      </c>
      <c r="H1162">
        <v>999.99900000000002</v>
      </c>
      <c r="K1162">
        <v>107155615</v>
      </c>
      <c r="L1162" s="2">
        <v>44886</v>
      </c>
      <c r="M1162">
        <v>20</v>
      </c>
      <c r="N1162">
        <v>1</v>
      </c>
      <c r="O1162">
        <v>0</v>
      </c>
      <c r="P1162">
        <v>1</v>
      </c>
      <c r="Q1162" t="s">
        <v>7</v>
      </c>
    </row>
    <row r="1163" spans="1:17">
      <c r="A1163" t="s">
        <v>1021</v>
      </c>
      <c r="B1163" t="s">
        <v>1194</v>
      </c>
      <c r="C1163">
        <v>2E-3</v>
      </c>
      <c r="D1163" t="s">
        <v>758</v>
      </c>
      <c r="E1163" t="s">
        <v>963</v>
      </c>
      <c r="F1163" t="s">
        <v>965</v>
      </c>
      <c r="H1163">
        <v>999.99900000000002</v>
      </c>
      <c r="K1163">
        <v>108365811</v>
      </c>
      <c r="L1163" s="2">
        <v>45970</v>
      </c>
      <c r="M1163">
        <v>20</v>
      </c>
      <c r="N1163">
        <v>1</v>
      </c>
      <c r="O1163">
        <v>0</v>
      </c>
      <c r="P1163">
        <v>1</v>
      </c>
    </row>
    <row r="1164" spans="1:17">
      <c r="A1164" t="s">
        <v>970</v>
      </c>
      <c r="B1164" t="s">
        <v>1000</v>
      </c>
      <c r="C1164">
        <v>1.9E-2</v>
      </c>
      <c r="D1164" t="s">
        <v>6</v>
      </c>
      <c r="E1164" t="s">
        <v>965</v>
      </c>
      <c r="F1164" t="s">
        <v>978</v>
      </c>
      <c r="H1164">
        <v>999.99900000000002</v>
      </c>
      <c r="K1164">
        <v>106327141</v>
      </c>
      <c r="L1164" s="2">
        <v>44077</v>
      </c>
      <c r="M1164">
        <v>19</v>
      </c>
      <c r="N1164">
        <v>1</v>
      </c>
      <c r="O1164">
        <v>5</v>
      </c>
      <c r="P1164">
        <v>4</v>
      </c>
      <c r="Q1164" t="s">
        <v>7</v>
      </c>
    </row>
    <row r="1165" spans="1:17">
      <c r="A1165" t="s">
        <v>1021</v>
      </c>
      <c r="B1165" t="s">
        <v>1181</v>
      </c>
      <c r="C1165">
        <v>2.8000000000000001E-2</v>
      </c>
      <c r="D1165" t="s">
        <v>6</v>
      </c>
      <c r="E1165" t="s">
        <v>965</v>
      </c>
      <c r="F1165" t="s">
        <v>1037</v>
      </c>
      <c r="H1165">
        <v>999.99900000000002</v>
      </c>
      <c r="K1165">
        <v>107927944</v>
      </c>
      <c r="L1165" s="2">
        <v>45616</v>
      </c>
      <c r="M1165">
        <v>28</v>
      </c>
      <c r="N1165">
        <v>2</v>
      </c>
      <c r="O1165">
        <v>4</v>
      </c>
      <c r="P1165">
        <v>1</v>
      </c>
      <c r="Q1165" t="s">
        <v>7</v>
      </c>
    </row>
    <row r="1166" spans="1:17">
      <c r="A1166" t="s">
        <v>1021</v>
      </c>
      <c r="B1166" t="s">
        <v>1172</v>
      </c>
      <c r="C1166">
        <v>2.5000000000000001E-2</v>
      </c>
      <c r="D1166" t="s">
        <v>6</v>
      </c>
      <c r="E1166" t="s">
        <v>965</v>
      </c>
      <c r="F1166" t="s">
        <v>1023</v>
      </c>
      <c r="H1166">
        <v>999.99900000000002</v>
      </c>
      <c r="K1166">
        <v>107852799</v>
      </c>
      <c r="L1166" s="2">
        <v>45551</v>
      </c>
      <c r="M1166">
        <v>31</v>
      </c>
      <c r="N1166">
        <v>2</v>
      </c>
      <c r="O1166">
        <v>4</v>
      </c>
      <c r="P1166">
        <v>1</v>
      </c>
      <c r="Q1166" t="s">
        <v>7</v>
      </c>
    </row>
    <row r="1167" spans="1:17">
      <c r="A1167" t="s">
        <v>1021</v>
      </c>
      <c r="B1167" t="s">
        <v>1030</v>
      </c>
      <c r="C1167">
        <v>1.9E-2</v>
      </c>
      <c r="D1167" t="s">
        <v>763</v>
      </c>
      <c r="E1167" t="s">
        <v>965</v>
      </c>
      <c r="H1167">
        <v>999.99900000000002</v>
      </c>
      <c r="K1167">
        <v>107879612</v>
      </c>
      <c r="L1167" s="2">
        <v>45576</v>
      </c>
      <c r="M1167">
        <v>31</v>
      </c>
      <c r="N1167">
        <v>1</v>
      </c>
      <c r="O1167">
        <v>0</v>
      </c>
      <c r="P1167">
        <v>1</v>
      </c>
      <c r="Q1167" t="s">
        <v>7</v>
      </c>
    </row>
    <row r="1168" spans="1:17">
      <c r="A1168" t="s">
        <v>1021</v>
      </c>
      <c r="B1168" t="s">
        <v>1136</v>
      </c>
      <c r="C1168">
        <v>8.9999999999999993E-3</v>
      </c>
      <c r="D1168" t="s">
        <v>6</v>
      </c>
      <c r="E1168" t="s">
        <v>965</v>
      </c>
      <c r="F1168" t="s">
        <v>1032</v>
      </c>
      <c r="H1168">
        <v>999.99900000000002</v>
      </c>
      <c r="K1168">
        <v>106802254</v>
      </c>
      <c r="L1168" s="2">
        <v>44463</v>
      </c>
      <c r="M1168">
        <v>31</v>
      </c>
      <c r="N1168">
        <v>1</v>
      </c>
      <c r="O1168">
        <v>0</v>
      </c>
      <c r="P1168">
        <v>1</v>
      </c>
      <c r="Q1168" t="s">
        <v>7</v>
      </c>
    </row>
    <row r="1169" spans="1:17">
      <c r="A1169" t="s">
        <v>1021</v>
      </c>
      <c r="B1169" t="s">
        <v>1171</v>
      </c>
      <c r="C1169">
        <v>0</v>
      </c>
      <c r="D1169" t="s">
        <v>765</v>
      </c>
      <c r="E1169" t="s">
        <v>965</v>
      </c>
      <c r="F1169" t="s">
        <v>1032</v>
      </c>
      <c r="H1169">
        <v>999.99900000000002</v>
      </c>
      <c r="K1169">
        <v>107661907</v>
      </c>
      <c r="L1169" s="2">
        <v>45372</v>
      </c>
      <c r="M1169">
        <v>31</v>
      </c>
      <c r="N1169">
        <v>1</v>
      </c>
      <c r="O1169">
        <v>0</v>
      </c>
      <c r="P1169">
        <v>1</v>
      </c>
      <c r="Q1169" t="s">
        <v>7</v>
      </c>
    </row>
    <row r="1170" spans="1:17">
      <c r="A1170" t="s">
        <v>1021</v>
      </c>
      <c r="B1170" t="s">
        <v>1180</v>
      </c>
      <c r="C1170">
        <v>1.2999999999999999E-2</v>
      </c>
      <c r="D1170" t="s">
        <v>6</v>
      </c>
      <c r="E1170" t="s">
        <v>965</v>
      </c>
      <c r="F1170" t="s">
        <v>1032</v>
      </c>
      <c r="H1170">
        <v>999.99900000000002</v>
      </c>
      <c r="K1170">
        <v>107994867</v>
      </c>
      <c r="L1170" s="2">
        <v>45675</v>
      </c>
      <c r="M1170">
        <v>20</v>
      </c>
      <c r="N1170">
        <v>1</v>
      </c>
      <c r="O1170">
        <v>0</v>
      </c>
      <c r="P1170">
        <v>1</v>
      </c>
      <c r="Q1170" t="s">
        <v>7</v>
      </c>
    </row>
    <row r="1171" spans="1:17">
      <c r="A1171" t="s">
        <v>1021</v>
      </c>
      <c r="B1171" t="s">
        <v>1124</v>
      </c>
      <c r="C1171">
        <v>8.9999999999999993E-3</v>
      </c>
      <c r="D1171" t="s">
        <v>764</v>
      </c>
      <c r="E1171" t="s">
        <v>964</v>
      </c>
      <c r="F1171" t="s">
        <v>968</v>
      </c>
      <c r="H1171">
        <v>999.99900000000002</v>
      </c>
      <c r="K1171">
        <v>107625727</v>
      </c>
      <c r="L1171" s="2">
        <v>45337</v>
      </c>
      <c r="M1171">
        <v>18</v>
      </c>
      <c r="N1171">
        <v>1</v>
      </c>
      <c r="O1171">
        <v>0</v>
      </c>
      <c r="P1171">
        <v>1</v>
      </c>
      <c r="Q1171" t="s">
        <v>7</v>
      </c>
    </row>
    <row r="1172" spans="1:17">
      <c r="A1172" t="s">
        <v>1021</v>
      </c>
      <c r="B1172" t="s">
        <v>1124</v>
      </c>
      <c r="C1172">
        <v>0</v>
      </c>
      <c r="D1172" t="s">
        <v>758</v>
      </c>
      <c r="E1172" t="s">
        <v>964</v>
      </c>
      <c r="F1172" t="s">
        <v>968</v>
      </c>
      <c r="H1172">
        <v>999.99900000000002</v>
      </c>
      <c r="K1172">
        <v>106186842</v>
      </c>
      <c r="L1172" s="2">
        <v>43860</v>
      </c>
      <c r="M1172">
        <v>30</v>
      </c>
      <c r="N1172">
        <v>1</v>
      </c>
      <c r="O1172">
        <v>0</v>
      </c>
      <c r="P1172">
        <v>4</v>
      </c>
      <c r="Q1172" t="s">
        <v>7</v>
      </c>
    </row>
    <row r="1173" spans="1:17">
      <c r="A1173" t="s">
        <v>1021</v>
      </c>
      <c r="B1173" t="s">
        <v>1186</v>
      </c>
      <c r="C1173">
        <v>0</v>
      </c>
      <c r="E1173" t="s">
        <v>964</v>
      </c>
      <c r="F1173" t="s">
        <v>967</v>
      </c>
      <c r="H1173">
        <v>999.99900000000002</v>
      </c>
      <c r="K1173">
        <v>108189347</v>
      </c>
      <c r="L1173" s="2">
        <v>45871</v>
      </c>
      <c r="M1173">
        <v>31</v>
      </c>
      <c r="N1173">
        <v>2</v>
      </c>
      <c r="O1173">
        <v>0</v>
      </c>
      <c r="P1173">
        <v>1</v>
      </c>
      <c r="Q1173" t="s">
        <v>7</v>
      </c>
    </row>
    <row r="1174" spans="1:17">
      <c r="A1174" t="s">
        <v>1021</v>
      </c>
      <c r="B1174" t="s">
        <v>1160</v>
      </c>
      <c r="C1174">
        <v>8.9999999999999993E-3</v>
      </c>
      <c r="D1174" t="s">
        <v>6</v>
      </c>
      <c r="E1174" t="s">
        <v>965</v>
      </c>
      <c r="F1174" t="s">
        <v>1040</v>
      </c>
      <c r="H1174">
        <v>999.99900000000002</v>
      </c>
      <c r="K1174">
        <v>107173185</v>
      </c>
      <c r="L1174" s="2">
        <v>44890</v>
      </c>
      <c r="M1174">
        <v>31</v>
      </c>
      <c r="N1174">
        <v>1</v>
      </c>
      <c r="O1174">
        <v>0</v>
      </c>
      <c r="P1174">
        <v>1</v>
      </c>
      <c r="Q1174" t="s">
        <v>7</v>
      </c>
    </row>
    <row r="1175" spans="1:17">
      <c r="A1175" t="s">
        <v>1021</v>
      </c>
      <c r="B1175" t="s">
        <v>1203</v>
      </c>
      <c r="C1175">
        <v>1.9E-2</v>
      </c>
      <c r="D1175" t="s">
        <v>757</v>
      </c>
      <c r="E1175" t="s">
        <v>965</v>
      </c>
      <c r="F1175" t="s">
        <v>968</v>
      </c>
      <c r="H1175">
        <v>999.99900000000002</v>
      </c>
      <c r="K1175">
        <v>108555383</v>
      </c>
      <c r="L1175" s="2">
        <v>46213</v>
      </c>
      <c r="M1175">
        <v>20</v>
      </c>
      <c r="N1175">
        <v>1</v>
      </c>
      <c r="O1175">
        <v>0</v>
      </c>
      <c r="P1175">
        <v>1</v>
      </c>
      <c r="Q1175" t="s">
        <v>7</v>
      </c>
    </row>
    <row r="1176" spans="1:17">
      <c r="A1176" t="s">
        <v>1021</v>
      </c>
      <c r="B1176" t="s">
        <v>1149</v>
      </c>
      <c r="C1176">
        <v>2.3E-2</v>
      </c>
      <c r="D1176" t="s">
        <v>764</v>
      </c>
      <c r="E1176" t="s">
        <v>965</v>
      </c>
      <c r="F1176" t="s">
        <v>1071</v>
      </c>
      <c r="H1176">
        <v>999.99900000000002</v>
      </c>
      <c r="K1176">
        <v>107004126</v>
      </c>
      <c r="L1176" s="2">
        <v>44743</v>
      </c>
      <c r="M1176">
        <v>31</v>
      </c>
      <c r="N1176">
        <v>2</v>
      </c>
      <c r="O1176">
        <v>0</v>
      </c>
      <c r="P1176">
        <v>1</v>
      </c>
      <c r="Q1176" t="s">
        <v>7</v>
      </c>
    </row>
    <row r="1177" spans="1:17">
      <c r="A1177" t="s">
        <v>1021</v>
      </c>
      <c r="B1177" t="s">
        <v>1031</v>
      </c>
      <c r="C1177">
        <v>1.9E-2</v>
      </c>
      <c r="D1177" t="s">
        <v>6</v>
      </c>
      <c r="E1177" t="s">
        <v>965</v>
      </c>
      <c r="F1177" t="s">
        <v>1032</v>
      </c>
      <c r="H1177">
        <v>999.99900000000002</v>
      </c>
      <c r="K1177">
        <v>107583528</v>
      </c>
      <c r="L1177" s="2">
        <v>45295</v>
      </c>
      <c r="M1177">
        <v>31</v>
      </c>
      <c r="N1177">
        <v>1</v>
      </c>
      <c r="O1177">
        <v>0</v>
      </c>
      <c r="P1177">
        <v>1</v>
      </c>
      <c r="Q1177" t="s">
        <v>7</v>
      </c>
    </row>
    <row r="1178" spans="1:17">
      <c r="A1178" t="s">
        <v>1021</v>
      </c>
      <c r="B1178" t="s">
        <v>1199</v>
      </c>
      <c r="C1178">
        <v>3.7999999999999999E-2</v>
      </c>
      <c r="D1178" t="s">
        <v>6</v>
      </c>
      <c r="E1178" t="s">
        <v>965</v>
      </c>
      <c r="F1178" t="s">
        <v>968</v>
      </c>
      <c r="H1178">
        <v>999.99900000000002</v>
      </c>
      <c r="K1178">
        <v>108597848</v>
      </c>
      <c r="L1178" s="2">
        <v>46256</v>
      </c>
      <c r="M1178">
        <v>20</v>
      </c>
      <c r="N1178">
        <v>1</v>
      </c>
      <c r="O1178">
        <v>0</v>
      </c>
      <c r="P1178">
        <v>1</v>
      </c>
      <c r="Q1178" t="s">
        <v>7</v>
      </c>
    </row>
    <row r="1179" spans="1:17">
      <c r="A1179" t="s">
        <v>1021</v>
      </c>
      <c r="B1179" t="s">
        <v>1093</v>
      </c>
      <c r="C1179">
        <v>2E-3</v>
      </c>
      <c r="D1179" t="s">
        <v>756</v>
      </c>
      <c r="E1179" t="s">
        <v>967</v>
      </c>
      <c r="F1179" t="s">
        <v>968</v>
      </c>
      <c r="H1179">
        <v>999.99900000000002</v>
      </c>
      <c r="K1179">
        <v>105028150</v>
      </c>
      <c r="L1179" s="2">
        <v>42767</v>
      </c>
      <c r="M1179">
        <v>21</v>
      </c>
      <c r="N1179">
        <v>1</v>
      </c>
      <c r="O1179">
        <v>8</v>
      </c>
      <c r="P1179">
        <v>4</v>
      </c>
      <c r="Q1179" t="s">
        <v>3</v>
      </c>
    </row>
    <row r="1180" spans="1:17">
      <c r="A1180" t="s">
        <v>1021</v>
      </c>
      <c r="B1180" t="s">
        <v>1139</v>
      </c>
      <c r="C1180">
        <v>0</v>
      </c>
      <c r="D1180" t="s">
        <v>6</v>
      </c>
      <c r="E1180" t="s">
        <v>965</v>
      </c>
      <c r="F1180" t="s">
        <v>1033</v>
      </c>
      <c r="H1180">
        <v>999.99900000000002</v>
      </c>
      <c r="K1180">
        <v>106812614</v>
      </c>
      <c r="L1180" s="2">
        <v>44553</v>
      </c>
      <c r="M1180">
        <v>21</v>
      </c>
      <c r="N1180">
        <v>1</v>
      </c>
      <c r="O1180">
        <v>0</v>
      </c>
      <c r="P1180">
        <v>1</v>
      </c>
      <c r="Q1180" t="s">
        <v>7</v>
      </c>
    </row>
    <row r="1181" spans="1:17">
      <c r="A1181" t="s">
        <v>1021</v>
      </c>
      <c r="B1181" t="s">
        <v>1168</v>
      </c>
      <c r="C1181">
        <v>2E-3</v>
      </c>
      <c r="D1181" t="s">
        <v>757</v>
      </c>
      <c r="E1181" t="s">
        <v>963</v>
      </c>
      <c r="H1181">
        <v>999.99900000000002</v>
      </c>
      <c r="K1181">
        <v>108012761</v>
      </c>
      <c r="L1181" s="2">
        <v>45693</v>
      </c>
      <c r="M1181">
        <v>20</v>
      </c>
      <c r="N1181">
        <v>1</v>
      </c>
      <c r="O1181">
        <v>0</v>
      </c>
      <c r="P1181">
        <v>1</v>
      </c>
      <c r="Q1181" t="s">
        <v>7</v>
      </c>
    </row>
    <row r="1182" spans="1:17">
      <c r="A1182" t="s">
        <v>1021</v>
      </c>
      <c r="B1182" t="s">
        <v>1168</v>
      </c>
      <c r="C1182">
        <v>6.0000000000000001E-3</v>
      </c>
      <c r="D1182" t="s">
        <v>756</v>
      </c>
      <c r="E1182" t="s">
        <v>963</v>
      </c>
      <c r="H1182">
        <v>999.99900000000002</v>
      </c>
      <c r="K1182">
        <v>108051131</v>
      </c>
      <c r="L1182" s="2">
        <v>45733</v>
      </c>
      <c r="M1182">
        <v>20</v>
      </c>
      <c r="N1182">
        <v>1</v>
      </c>
      <c r="O1182">
        <v>0</v>
      </c>
      <c r="P1182">
        <v>1</v>
      </c>
      <c r="Q1182" t="s">
        <v>7</v>
      </c>
    </row>
    <row r="1183" spans="1:17">
      <c r="A1183" t="s">
        <v>1021</v>
      </c>
      <c r="B1183" t="s">
        <v>1168</v>
      </c>
      <c r="C1183">
        <v>8.9999999999999993E-3</v>
      </c>
      <c r="D1183" t="s">
        <v>758</v>
      </c>
      <c r="E1183" t="s">
        <v>965</v>
      </c>
      <c r="H1183">
        <v>999.99900000000002</v>
      </c>
      <c r="K1183">
        <v>107622106</v>
      </c>
      <c r="L1183" s="2">
        <v>45333</v>
      </c>
      <c r="M1183">
        <v>20</v>
      </c>
      <c r="N1183">
        <v>1</v>
      </c>
      <c r="O1183">
        <v>0</v>
      </c>
      <c r="P1183">
        <v>1</v>
      </c>
      <c r="Q1183" t="s">
        <v>7</v>
      </c>
    </row>
    <row r="1184" spans="1:17">
      <c r="A1184" t="s">
        <v>1021</v>
      </c>
      <c r="B1184" t="s">
        <v>1068</v>
      </c>
      <c r="C1184">
        <v>1.9E-2</v>
      </c>
      <c r="D1184" t="s">
        <v>757</v>
      </c>
      <c r="E1184" t="s">
        <v>965</v>
      </c>
      <c r="F1184" t="s">
        <v>1032</v>
      </c>
      <c r="H1184">
        <v>999.99900000000002</v>
      </c>
      <c r="K1184">
        <v>105107749</v>
      </c>
      <c r="L1184" s="2">
        <v>42870</v>
      </c>
      <c r="M1184">
        <v>30</v>
      </c>
      <c r="N1184">
        <v>1</v>
      </c>
      <c r="O1184">
        <v>0</v>
      </c>
      <c r="P1184">
        <v>1</v>
      </c>
      <c r="Q1184" t="s">
        <v>7</v>
      </c>
    </row>
    <row r="1185" spans="1:17">
      <c r="A1185" t="s">
        <v>1021</v>
      </c>
      <c r="B1185" t="s">
        <v>1197</v>
      </c>
      <c r="C1185">
        <v>1.0999999999999999E-2</v>
      </c>
      <c r="D1185" t="s">
        <v>6</v>
      </c>
      <c r="E1185" t="s">
        <v>965</v>
      </c>
      <c r="F1185" t="s">
        <v>1037</v>
      </c>
      <c r="H1185">
        <v>999.99900000000002</v>
      </c>
      <c r="K1185">
        <v>108517687</v>
      </c>
      <c r="L1185" s="2">
        <v>46176</v>
      </c>
      <c r="M1185">
        <v>31</v>
      </c>
      <c r="N1185">
        <v>1</v>
      </c>
      <c r="O1185">
        <v>4</v>
      </c>
      <c r="P1185">
        <v>1</v>
      </c>
      <c r="Q1185" t="s">
        <v>7</v>
      </c>
    </row>
    <row r="1186" spans="1:17">
      <c r="A1186" t="s">
        <v>1021</v>
      </c>
      <c r="B1186" t="s">
        <v>1173</v>
      </c>
      <c r="C1186">
        <v>0</v>
      </c>
      <c r="D1186" t="s">
        <v>6</v>
      </c>
      <c r="E1186" t="s">
        <v>965</v>
      </c>
      <c r="F1186" t="s">
        <v>1037</v>
      </c>
      <c r="H1186">
        <v>999.99900000000002</v>
      </c>
      <c r="K1186">
        <v>107830283</v>
      </c>
      <c r="L1186" s="2">
        <v>45531</v>
      </c>
      <c r="M1186">
        <v>31</v>
      </c>
      <c r="N1186">
        <v>1</v>
      </c>
      <c r="O1186">
        <v>0</v>
      </c>
      <c r="P1186">
        <v>1</v>
      </c>
      <c r="Q1186" t="s">
        <v>7</v>
      </c>
    </row>
    <row r="1187" spans="1:17">
      <c r="A1187" t="s">
        <v>1021</v>
      </c>
      <c r="B1187" t="s">
        <v>1173</v>
      </c>
      <c r="C1187">
        <v>8.9999999999999993E-3</v>
      </c>
      <c r="D1187" t="s">
        <v>6</v>
      </c>
      <c r="E1187" t="s">
        <v>965</v>
      </c>
      <c r="F1187" t="s">
        <v>1037</v>
      </c>
      <c r="H1187">
        <v>999.99900000000002</v>
      </c>
      <c r="K1187">
        <v>107920548</v>
      </c>
      <c r="L1187" s="2">
        <v>45609</v>
      </c>
      <c r="M1187">
        <v>31</v>
      </c>
      <c r="N1187">
        <v>1</v>
      </c>
      <c r="O1187">
        <v>0</v>
      </c>
      <c r="P1187">
        <v>1</v>
      </c>
      <c r="Q1187" t="s">
        <v>7</v>
      </c>
    </row>
    <row r="1188" spans="1:17">
      <c r="A1188" t="s">
        <v>1021</v>
      </c>
      <c r="B1188" t="s">
        <v>1069</v>
      </c>
      <c r="C1188">
        <v>1.6E-2</v>
      </c>
      <c r="D1188" t="s">
        <v>757</v>
      </c>
      <c r="E1188" t="s">
        <v>965</v>
      </c>
      <c r="F1188" t="s">
        <v>970</v>
      </c>
      <c r="H1188">
        <v>999.99900000000002</v>
      </c>
      <c r="K1188">
        <v>105107750</v>
      </c>
      <c r="L1188" s="2">
        <v>42870</v>
      </c>
      <c r="M1188">
        <v>30</v>
      </c>
      <c r="N1188">
        <v>1</v>
      </c>
      <c r="O1188">
        <v>4</v>
      </c>
      <c r="P1188">
        <v>1</v>
      </c>
      <c r="Q1188" t="s">
        <v>7</v>
      </c>
    </row>
    <row r="1189" spans="1:17">
      <c r="A1189" t="s">
        <v>1021</v>
      </c>
      <c r="B1189" t="s">
        <v>1107</v>
      </c>
      <c r="C1189">
        <v>1.9E-2</v>
      </c>
      <c r="D1189" t="s">
        <v>758</v>
      </c>
      <c r="E1189" t="s">
        <v>967</v>
      </c>
      <c r="F1189" t="s">
        <v>965</v>
      </c>
      <c r="H1189">
        <v>999.99900000000002</v>
      </c>
      <c r="K1189">
        <v>107356174</v>
      </c>
      <c r="L1189" s="2">
        <v>45082</v>
      </c>
      <c r="M1189">
        <v>31</v>
      </c>
      <c r="N1189">
        <v>1</v>
      </c>
      <c r="O1189">
        <v>0</v>
      </c>
      <c r="P1189">
        <v>1</v>
      </c>
      <c r="Q1189" t="s">
        <v>7</v>
      </c>
    </row>
    <row r="1190" spans="1:17">
      <c r="A1190" t="s">
        <v>1021</v>
      </c>
      <c r="B1190" t="s">
        <v>1158</v>
      </c>
      <c r="C1190">
        <v>8.9999999999999993E-3</v>
      </c>
      <c r="D1190" t="s">
        <v>757</v>
      </c>
      <c r="E1190" t="s">
        <v>965</v>
      </c>
      <c r="F1190" t="s">
        <v>1056</v>
      </c>
      <c r="H1190">
        <v>999.99900000000002</v>
      </c>
      <c r="K1190">
        <v>107150004</v>
      </c>
      <c r="L1190" s="2">
        <v>44869</v>
      </c>
      <c r="M1190">
        <v>20</v>
      </c>
      <c r="N1190">
        <v>1</v>
      </c>
      <c r="O1190">
        <v>0</v>
      </c>
      <c r="P1190">
        <v>3</v>
      </c>
      <c r="Q1190" t="s">
        <v>7</v>
      </c>
    </row>
    <row r="1191" spans="1:17">
      <c r="A1191" t="s">
        <v>1021</v>
      </c>
      <c r="B1191" t="s">
        <v>1048</v>
      </c>
      <c r="C1191">
        <v>6.0000000000000001E-3</v>
      </c>
      <c r="D1191" t="s">
        <v>762</v>
      </c>
      <c r="E1191" t="s">
        <v>964</v>
      </c>
      <c r="F1191" t="s">
        <v>968</v>
      </c>
      <c r="H1191">
        <v>999.99900000000002</v>
      </c>
      <c r="K1191">
        <v>105197257</v>
      </c>
      <c r="L1191" s="2">
        <v>42954</v>
      </c>
      <c r="M1191">
        <v>19</v>
      </c>
      <c r="N1191">
        <v>1</v>
      </c>
      <c r="O1191">
        <v>0</v>
      </c>
      <c r="P1191">
        <v>1</v>
      </c>
      <c r="Q1191" t="s">
        <v>3</v>
      </c>
    </row>
    <row r="1192" spans="1:17">
      <c r="A1192" t="s">
        <v>1021</v>
      </c>
      <c r="B1192" t="s">
        <v>1048</v>
      </c>
      <c r="C1192">
        <v>1.9E-2</v>
      </c>
      <c r="D1192" t="s">
        <v>756</v>
      </c>
      <c r="E1192" t="s">
        <v>964</v>
      </c>
      <c r="F1192" t="s">
        <v>968</v>
      </c>
      <c r="H1192">
        <v>999.99900000000002</v>
      </c>
      <c r="K1192">
        <v>105056687</v>
      </c>
      <c r="L1192" s="2">
        <v>42818</v>
      </c>
      <c r="M1192">
        <v>31</v>
      </c>
      <c r="N1192">
        <v>1</v>
      </c>
      <c r="O1192">
        <v>4</v>
      </c>
      <c r="P1192">
        <v>1</v>
      </c>
      <c r="Q1192" t="s">
        <v>7</v>
      </c>
    </row>
    <row r="1193" spans="1:17">
      <c r="A1193" t="s">
        <v>1021</v>
      </c>
      <c r="B1193" t="s">
        <v>1048</v>
      </c>
      <c r="C1193">
        <v>1.2999999999999999E-2</v>
      </c>
      <c r="D1193" t="s">
        <v>6</v>
      </c>
      <c r="E1193" t="s">
        <v>964</v>
      </c>
      <c r="F1193" t="s">
        <v>968</v>
      </c>
      <c r="H1193">
        <v>999.99900000000002</v>
      </c>
      <c r="K1193">
        <v>105121777</v>
      </c>
      <c r="L1193" s="2">
        <v>42885</v>
      </c>
      <c r="M1193">
        <v>32</v>
      </c>
      <c r="N1193">
        <v>1</v>
      </c>
      <c r="O1193">
        <v>4</v>
      </c>
      <c r="P1193">
        <v>1</v>
      </c>
      <c r="Q1193" t="s">
        <v>7</v>
      </c>
    </row>
    <row r="1194" spans="1:17">
      <c r="A1194" t="s">
        <v>1021</v>
      </c>
      <c r="B1194" t="s">
        <v>1048</v>
      </c>
      <c r="C1194">
        <v>1E-3</v>
      </c>
      <c r="D1194" t="s">
        <v>6</v>
      </c>
      <c r="E1194" t="s">
        <v>964</v>
      </c>
      <c r="H1194">
        <v>999.99900000000002</v>
      </c>
      <c r="K1194">
        <v>105072049</v>
      </c>
      <c r="L1194" s="2">
        <v>42836</v>
      </c>
      <c r="M1194">
        <v>21</v>
      </c>
      <c r="N1194">
        <v>1</v>
      </c>
      <c r="O1194">
        <v>4</v>
      </c>
      <c r="P1194">
        <v>1</v>
      </c>
      <c r="Q1194" t="s">
        <v>7</v>
      </c>
    </row>
    <row r="1195" spans="1:17">
      <c r="A1195" t="s">
        <v>1021</v>
      </c>
      <c r="B1195" t="s">
        <v>1022</v>
      </c>
      <c r="C1195">
        <v>2.8000000000000001E-2</v>
      </c>
      <c r="D1195" t="s">
        <v>757</v>
      </c>
      <c r="E1195" t="s">
        <v>965</v>
      </c>
      <c r="F1195" t="s">
        <v>1118</v>
      </c>
      <c r="H1195">
        <v>999.99900000000002</v>
      </c>
      <c r="K1195">
        <v>106036364</v>
      </c>
      <c r="L1195" s="2">
        <v>43751</v>
      </c>
      <c r="M1195">
        <v>26</v>
      </c>
      <c r="N1195">
        <v>1</v>
      </c>
      <c r="O1195">
        <v>8</v>
      </c>
      <c r="P1195">
        <v>1</v>
      </c>
      <c r="Q1195" t="s">
        <v>7</v>
      </c>
    </row>
    <row r="1196" spans="1:17">
      <c r="A1196" t="s">
        <v>1021</v>
      </c>
      <c r="B1196" t="s">
        <v>1022</v>
      </c>
      <c r="C1196">
        <v>2E-3</v>
      </c>
      <c r="D1196" t="s">
        <v>757</v>
      </c>
      <c r="E1196" t="s">
        <v>965</v>
      </c>
      <c r="F1196" t="s">
        <v>968</v>
      </c>
      <c r="H1196">
        <v>999.99900000000002</v>
      </c>
      <c r="K1196">
        <v>106802330</v>
      </c>
      <c r="L1196" s="2">
        <v>44497</v>
      </c>
      <c r="M1196">
        <v>19</v>
      </c>
      <c r="N1196">
        <v>1</v>
      </c>
      <c r="O1196">
        <v>8</v>
      </c>
      <c r="P1196">
        <v>1</v>
      </c>
      <c r="Q1196" t="s">
        <v>8</v>
      </c>
    </row>
    <row r="1197" spans="1:17">
      <c r="A1197" t="s">
        <v>1021</v>
      </c>
      <c r="B1197" t="s">
        <v>1022</v>
      </c>
      <c r="C1197">
        <v>2.1999999999999999E-2</v>
      </c>
      <c r="D1197" t="s">
        <v>757</v>
      </c>
      <c r="E1197" t="s">
        <v>965</v>
      </c>
      <c r="H1197">
        <v>999.99900000000002</v>
      </c>
      <c r="K1197">
        <v>107317615</v>
      </c>
      <c r="L1197" s="2">
        <v>45045</v>
      </c>
      <c r="M1197">
        <v>25</v>
      </c>
      <c r="N1197">
        <v>1</v>
      </c>
      <c r="O1197">
        <v>0</v>
      </c>
      <c r="P1197">
        <v>1</v>
      </c>
      <c r="Q1197" t="s">
        <v>7</v>
      </c>
    </row>
    <row r="1198" spans="1:17">
      <c r="A1198" t="s">
        <v>1021</v>
      </c>
      <c r="B1198" t="s">
        <v>1022</v>
      </c>
      <c r="C1198">
        <v>8.9999999999999993E-3</v>
      </c>
      <c r="D1198" t="s">
        <v>757</v>
      </c>
      <c r="E1198" t="s">
        <v>965</v>
      </c>
      <c r="H1198">
        <v>999.99900000000002</v>
      </c>
      <c r="K1198">
        <v>107240299</v>
      </c>
      <c r="L1198" s="2">
        <v>44968</v>
      </c>
      <c r="M1198">
        <v>28</v>
      </c>
      <c r="N1198">
        <v>1</v>
      </c>
      <c r="O1198">
        <v>8</v>
      </c>
      <c r="P1198">
        <v>1</v>
      </c>
      <c r="Q1198" t="s">
        <v>7</v>
      </c>
    </row>
    <row r="1199" spans="1:17">
      <c r="A1199" t="s">
        <v>1021</v>
      </c>
      <c r="B1199" t="s">
        <v>1022</v>
      </c>
      <c r="C1199">
        <v>1E-3</v>
      </c>
      <c r="D1199" t="s">
        <v>757</v>
      </c>
      <c r="E1199" t="s">
        <v>965</v>
      </c>
      <c r="H1199">
        <v>999.99900000000002</v>
      </c>
      <c r="K1199">
        <v>108373439</v>
      </c>
      <c r="L1199" s="2">
        <v>46038</v>
      </c>
      <c r="M1199">
        <v>31</v>
      </c>
      <c r="N1199">
        <v>1</v>
      </c>
      <c r="O1199">
        <v>12</v>
      </c>
      <c r="P1199">
        <v>1</v>
      </c>
      <c r="Q1199" t="s">
        <v>7</v>
      </c>
    </row>
    <row r="1200" spans="1:17">
      <c r="A1200" t="s">
        <v>1021</v>
      </c>
      <c r="B1200" t="s">
        <v>1167</v>
      </c>
      <c r="C1200">
        <v>0.01</v>
      </c>
      <c r="D1200" t="s">
        <v>765</v>
      </c>
      <c r="E1200" t="s">
        <v>963</v>
      </c>
      <c r="F1200" t="s">
        <v>965</v>
      </c>
      <c r="H1200">
        <v>999.99900000000002</v>
      </c>
      <c r="K1200">
        <v>107536973</v>
      </c>
      <c r="L1200" s="2">
        <v>45251</v>
      </c>
      <c r="M1200">
        <v>20</v>
      </c>
      <c r="N1200">
        <v>2</v>
      </c>
      <c r="O1200">
        <v>0</v>
      </c>
      <c r="P1200">
        <v>1</v>
      </c>
    </row>
    <row r="1201" spans="1:22">
      <c r="A1201" t="s">
        <v>1021</v>
      </c>
      <c r="B1201" t="s">
        <v>1167</v>
      </c>
      <c r="C1201">
        <v>4.0000000000000001E-3</v>
      </c>
      <c r="D1201" t="s">
        <v>756</v>
      </c>
      <c r="E1201" t="s">
        <v>963</v>
      </c>
      <c r="F1201" t="s">
        <v>965</v>
      </c>
      <c r="H1201">
        <v>999.99900000000002</v>
      </c>
      <c r="K1201">
        <v>107536958</v>
      </c>
      <c r="L1201" s="2">
        <v>45252</v>
      </c>
      <c r="M1201">
        <v>20</v>
      </c>
      <c r="N1201">
        <v>1</v>
      </c>
      <c r="O1201">
        <v>0</v>
      </c>
      <c r="P1201">
        <v>1</v>
      </c>
      <c r="Q1201" t="s">
        <v>7</v>
      </c>
    </row>
    <row r="1202" spans="1:22">
      <c r="A1202" t="s">
        <v>1021</v>
      </c>
      <c r="B1202" t="s">
        <v>1167</v>
      </c>
      <c r="C1202">
        <v>5.0000000000000001E-3</v>
      </c>
      <c r="D1202" t="s">
        <v>765</v>
      </c>
      <c r="E1202" t="s">
        <v>963</v>
      </c>
      <c r="F1202" t="s">
        <v>965</v>
      </c>
      <c r="H1202">
        <v>999.99900000000002</v>
      </c>
      <c r="K1202">
        <v>107661002</v>
      </c>
      <c r="L1202" s="2">
        <v>45371</v>
      </c>
      <c r="M1202">
        <v>20</v>
      </c>
      <c r="N1202">
        <v>1</v>
      </c>
      <c r="O1202">
        <v>0</v>
      </c>
      <c r="P1202">
        <v>2</v>
      </c>
    </row>
    <row r="1203" spans="1:22">
      <c r="A1203" t="s">
        <v>1021</v>
      </c>
      <c r="B1203" t="s">
        <v>1167</v>
      </c>
      <c r="C1203">
        <v>4.0000000000000001E-3</v>
      </c>
      <c r="D1203" t="s">
        <v>765</v>
      </c>
      <c r="E1203" t="s">
        <v>963</v>
      </c>
      <c r="F1203" t="s">
        <v>965</v>
      </c>
      <c r="H1203">
        <v>999.99900000000002</v>
      </c>
      <c r="K1203">
        <v>108241568</v>
      </c>
      <c r="L1203" s="2">
        <v>45924</v>
      </c>
      <c r="M1203">
        <v>20</v>
      </c>
      <c r="N1203">
        <v>1</v>
      </c>
      <c r="O1203">
        <v>0</v>
      </c>
      <c r="P1203">
        <v>1</v>
      </c>
    </row>
    <row r="1204" spans="1:22">
      <c r="A1204" t="s">
        <v>970</v>
      </c>
      <c r="B1204" t="s">
        <v>962</v>
      </c>
      <c r="C1204">
        <v>5.7000000000000002E-2</v>
      </c>
      <c r="D1204" t="s">
        <v>758</v>
      </c>
      <c r="E1204" t="s">
        <v>985</v>
      </c>
      <c r="F1204" t="s">
        <v>980</v>
      </c>
      <c r="H1204">
        <v>999.99900000000002</v>
      </c>
      <c r="K1204">
        <v>107035678</v>
      </c>
      <c r="L1204" s="2">
        <v>44761</v>
      </c>
      <c r="M1204">
        <v>28</v>
      </c>
      <c r="N1204">
        <v>1</v>
      </c>
      <c r="O1204">
        <v>0</v>
      </c>
      <c r="P1204">
        <v>1</v>
      </c>
      <c r="Q1204" t="s">
        <v>7</v>
      </c>
    </row>
    <row r="1205" spans="1:22">
      <c r="A1205" t="s">
        <v>754</v>
      </c>
      <c r="B1205" t="s">
        <v>962</v>
      </c>
      <c r="C1205">
        <v>4.7E-2</v>
      </c>
      <c r="D1205" t="s">
        <v>756</v>
      </c>
      <c r="E1205" t="s">
        <v>985</v>
      </c>
      <c r="F1205" t="s">
        <v>975</v>
      </c>
      <c r="H1205">
        <v>999.99900000000002</v>
      </c>
      <c r="K1205">
        <v>106971805</v>
      </c>
      <c r="L1205" s="2">
        <v>44698</v>
      </c>
      <c r="M1205">
        <v>28</v>
      </c>
      <c r="N1205">
        <v>1</v>
      </c>
      <c r="O1205">
        <v>14</v>
      </c>
      <c r="P1205">
        <v>1</v>
      </c>
      <c r="Q1205" t="s">
        <v>10</v>
      </c>
      <c r="R1205">
        <v>35.177003999999997</v>
      </c>
      <c r="S1205">
        <v>-79.437830000000005</v>
      </c>
      <c r="T1205" t="s">
        <v>759</v>
      </c>
      <c r="U1205" t="s">
        <v>367</v>
      </c>
      <c r="V1205">
        <v>0.5635</v>
      </c>
    </row>
    <row r="1206" spans="1:22">
      <c r="A1206" t="s">
        <v>754</v>
      </c>
      <c r="B1206" t="s">
        <v>962</v>
      </c>
      <c r="C1206">
        <v>7.0000000000000001E-3</v>
      </c>
      <c r="D1206" t="s">
        <v>6</v>
      </c>
      <c r="E1206" t="s">
        <v>1006</v>
      </c>
      <c r="F1206" t="s">
        <v>980</v>
      </c>
      <c r="H1206">
        <v>999.99900000000002</v>
      </c>
      <c r="K1206">
        <v>107083148</v>
      </c>
      <c r="L1206" s="2">
        <v>44815</v>
      </c>
      <c r="M1206">
        <v>23</v>
      </c>
      <c r="N1206">
        <v>1</v>
      </c>
      <c r="O1206">
        <v>8</v>
      </c>
      <c r="P1206">
        <v>1</v>
      </c>
      <c r="Q1206" t="s">
        <v>7</v>
      </c>
    </row>
    <row r="1207" spans="1:22">
      <c r="A1207" t="s">
        <v>1021</v>
      </c>
      <c r="B1207" t="s">
        <v>962</v>
      </c>
      <c r="C1207">
        <v>2.4E-2</v>
      </c>
      <c r="D1207" t="s">
        <v>758</v>
      </c>
      <c r="E1207" t="s">
        <v>1166</v>
      </c>
      <c r="F1207" t="s">
        <v>1006</v>
      </c>
      <c r="H1207">
        <v>999.99900000000002</v>
      </c>
      <c r="K1207">
        <v>107497749</v>
      </c>
      <c r="L1207" s="2">
        <v>45219</v>
      </c>
      <c r="M1207">
        <v>21</v>
      </c>
      <c r="N1207">
        <v>1</v>
      </c>
      <c r="O1207">
        <v>0</v>
      </c>
      <c r="P1207">
        <v>1</v>
      </c>
      <c r="Q1207" t="s">
        <v>7</v>
      </c>
      <c r="R1207">
        <v>35.177</v>
      </c>
      <c r="S1207">
        <v>-79.437299999999993</v>
      </c>
      <c r="T1207" t="s">
        <v>761</v>
      </c>
      <c r="U1207" t="s">
        <v>367</v>
      </c>
      <c r="V1207">
        <v>0.53400000000000003</v>
      </c>
    </row>
    <row r="1208" spans="1:22">
      <c r="A1208" t="s">
        <v>754</v>
      </c>
      <c r="B1208" t="s">
        <v>962</v>
      </c>
      <c r="C1208">
        <v>4.2999999999999997E-2</v>
      </c>
      <c r="D1208" t="s">
        <v>758</v>
      </c>
      <c r="E1208" t="s">
        <v>986</v>
      </c>
      <c r="F1208" t="s">
        <v>975</v>
      </c>
      <c r="H1208">
        <v>999.99900000000002</v>
      </c>
      <c r="K1208">
        <v>105229332</v>
      </c>
      <c r="L1208" s="2">
        <v>42999</v>
      </c>
      <c r="M1208">
        <v>21</v>
      </c>
      <c r="N1208">
        <v>1</v>
      </c>
      <c r="O1208">
        <v>0</v>
      </c>
      <c r="P1208">
        <v>1</v>
      </c>
      <c r="Q1208" t="s">
        <v>3</v>
      </c>
    </row>
    <row r="1209" spans="1:22">
      <c r="A1209" t="s">
        <v>754</v>
      </c>
      <c r="B1209" t="s">
        <v>962</v>
      </c>
      <c r="C1209">
        <v>4.0000000000000001E-3</v>
      </c>
      <c r="D1209" t="s">
        <v>758</v>
      </c>
      <c r="E1209" t="s">
        <v>986</v>
      </c>
      <c r="F1209" t="s">
        <v>975</v>
      </c>
      <c r="H1209">
        <v>999.99900000000002</v>
      </c>
      <c r="K1209">
        <v>106136418</v>
      </c>
      <c r="L1209" s="2">
        <v>43812</v>
      </c>
      <c r="M1209">
        <v>21</v>
      </c>
      <c r="N1209">
        <v>2</v>
      </c>
      <c r="O1209">
        <v>0</v>
      </c>
      <c r="P1209">
        <v>1</v>
      </c>
      <c r="Q1209" t="s">
        <v>7</v>
      </c>
    </row>
    <row r="1210" spans="1:22">
      <c r="A1210" t="s">
        <v>754</v>
      </c>
      <c r="B1210" t="s">
        <v>962</v>
      </c>
      <c r="C1210">
        <v>0</v>
      </c>
      <c r="E1210" t="s">
        <v>1016</v>
      </c>
      <c r="F1210" t="s">
        <v>968</v>
      </c>
      <c r="H1210">
        <v>999.99900000000002</v>
      </c>
      <c r="K1210">
        <v>107028909</v>
      </c>
      <c r="L1210" s="2">
        <v>44769</v>
      </c>
      <c r="M1210">
        <v>21</v>
      </c>
      <c r="N1210">
        <v>1</v>
      </c>
      <c r="O1210">
        <v>8</v>
      </c>
      <c r="P1210">
        <v>1</v>
      </c>
      <c r="Q1210" t="s">
        <v>7</v>
      </c>
    </row>
    <row r="1211" spans="1:22">
      <c r="A1211" t="s">
        <v>754</v>
      </c>
      <c r="B1211" t="s">
        <v>962</v>
      </c>
      <c r="C1211">
        <v>0</v>
      </c>
      <c r="E1211" t="s">
        <v>1016</v>
      </c>
      <c r="F1211" t="s">
        <v>968</v>
      </c>
      <c r="H1211">
        <v>999.99900000000002</v>
      </c>
      <c r="K1211">
        <v>108534584</v>
      </c>
      <c r="L1211" s="2">
        <v>46190</v>
      </c>
      <c r="M1211">
        <v>28</v>
      </c>
      <c r="N1211">
        <v>1</v>
      </c>
      <c r="O1211">
        <v>0</v>
      </c>
      <c r="P1211">
        <v>1</v>
      </c>
      <c r="Q1211" t="s">
        <v>3</v>
      </c>
      <c r="R1211">
        <v>35.177000999999997</v>
      </c>
      <c r="S1211">
        <v>-79.434970000000007</v>
      </c>
      <c r="T1211" t="s">
        <v>755</v>
      </c>
      <c r="U1211" t="s">
        <v>367</v>
      </c>
      <c r="V1211">
        <v>0.40450000000000003</v>
      </c>
    </row>
    <row r="1212" spans="1:22">
      <c r="A1212" t="s">
        <v>754</v>
      </c>
      <c r="B1212" t="s">
        <v>962</v>
      </c>
      <c r="C1212">
        <v>0</v>
      </c>
      <c r="E1212" t="s">
        <v>1012</v>
      </c>
      <c r="F1212" t="s">
        <v>1013</v>
      </c>
      <c r="H1212">
        <v>999.99900000000002</v>
      </c>
      <c r="K1212">
        <v>107958129</v>
      </c>
      <c r="L1212" s="2">
        <v>45630</v>
      </c>
      <c r="M1212">
        <v>24</v>
      </c>
      <c r="N1212">
        <v>1</v>
      </c>
      <c r="O1212">
        <v>8</v>
      </c>
      <c r="P1212">
        <v>1</v>
      </c>
      <c r="Q1212" t="s">
        <v>7</v>
      </c>
      <c r="R1212">
        <v>35.177000999999997</v>
      </c>
      <c r="S1212">
        <v>-79.434970000000007</v>
      </c>
      <c r="T1212" t="s">
        <v>761</v>
      </c>
      <c r="U1212" t="s">
        <v>367</v>
      </c>
      <c r="V1212">
        <v>0.40450000000000003</v>
      </c>
    </row>
    <row r="1213" spans="1:22">
      <c r="A1213" t="s">
        <v>970</v>
      </c>
      <c r="B1213" t="s">
        <v>983</v>
      </c>
      <c r="C1213">
        <v>3.0000000000000001E-3</v>
      </c>
      <c r="D1213" t="s">
        <v>757</v>
      </c>
      <c r="E1213" t="s">
        <v>965</v>
      </c>
      <c r="F1213" t="s">
        <v>971</v>
      </c>
      <c r="H1213">
        <v>999.99900000000002</v>
      </c>
      <c r="K1213">
        <v>106536725</v>
      </c>
      <c r="L1213" s="2">
        <v>44291</v>
      </c>
      <c r="M1213">
        <v>30</v>
      </c>
      <c r="N1213">
        <v>1</v>
      </c>
      <c r="O1213">
        <v>0</v>
      </c>
      <c r="P1213">
        <v>1</v>
      </c>
      <c r="Q1213" t="s">
        <v>7</v>
      </c>
    </row>
    <row r="1214" spans="1:22">
      <c r="A1214" t="s">
        <v>1021</v>
      </c>
      <c r="B1214" t="s">
        <v>1075</v>
      </c>
      <c r="C1214">
        <v>1.0999999999999999E-2</v>
      </c>
      <c r="D1214" t="s">
        <v>757</v>
      </c>
      <c r="E1214" t="s">
        <v>965</v>
      </c>
      <c r="H1214">
        <v>999.99900000000002</v>
      </c>
      <c r="K1214">
        <v>106372333</v>
      </c>
      <c r="L1214" s="2">
        <v>44090</v>
      </c>
      <c r="M1214">
        <v>21</v>
      </c>
      <c r="N1214">
        <v>1</v>
      </c>
      <c r="O1214">
        <v>0</v>
      </c>
      <c r="P1214">
        <v>1</v>
      </c>
      <c r="Q1214" t="s">
        <v>7</v>
      </c>
    </row>
    <row r="1215" spans="1:22">
      <c r="A1215" t="s">
        <v>1021</v>
      </c>
      <c r="B1215" t="s">
        <v>964</v>
      </c>
      <c r="C1215">
        <v>0</v>
      </c>
      <c r="E1215" t="s">
        <v>1109</v>
      </c>
      <c r="F1215" t="s">
        <v>964</v>
      </c>
      <c r="H1215">
        <v>999.99900000000002</v>
      </c>
      <c r="K1215">
        <v>105881672</v>
      </c>
      <c r="L1215" s="2">
        <v>43589</v>
      </c>
      <c r="M1215">
        <v>25</v>
      </c>
      <c r="N1215">
        <v>1</v>
      </c>
      <c r="O1215">
        <v>10</v>
      </c>
      <c r="P1215">
        <v>1</v>
      </c>
      <c r="Q1215" t="s">
        <v>7</v>
      </c>
    </row>
  </sheetData>
  <sheetProtection formatCells="0" formatColumns="0" formatRows="0" insertColumns="0" insertRows="0" insertHyperlinks="0" sort="0" autoFilter="0" pivotTables="0"/>
  <autoFilter ref="A1:AB1215" xr:uid="{002A76AE-0675-4708-A4B8-3B450A88943B}"/>
  <hyperlinks>
    <hyperlink ref="U23" r:id="rId1" xr:uid="{00000000-0004-0000-0800-000000000000}"/>
    <hyperlink ref="U28" r:id="rId2" xr:uid="{00000000-0004-0000-0800-000001000000}"/>
    <hyperlink ref="U156" r:id="rId3" xr:uid="{00000000-0004-0000-0800-000002000000}"/>
    <hyperlink ref="U163" r:id="rId4" xr:uid="{00000000-0004-0000-0800-000003000000}"/>
    <hyperlink ref="U221" r:id="rId5" xr:uid="{00000000-0004-0000-0800-000004000000}"/>
    <hyperlink ref="U229" r:id="rId6" xr:uid="{00000000-0004-0000-0800-000005000000}"/>
    <hyperlink ref="U234" r:id="rId7" xr:uid="{00000000-0004-0000-0800-000006000000}"/>
    <hyperlink ref="U235" r:id="rId8" xr:uid="{00000000-0004-0000-0800-000007000000}"/>
    <hyperlink ref="U238" r:id="rId9" xr:uid="{00000000-0004-0000-0800-000008000000}"/>
    <hyperlink ref="U242" r:id="rId10" xr:uid="{00000000-0004-0000-0800-000009000000}"/>
    <hyperlink ref="U245" r:id="rId11" xr:uid="{00000000-0004-0000-0800-00000A000000}"/>
    <hyperlink ref="U246" r:id="rId12" xr:uid="{00000000-0004-0000-0800-00000B000000}"/>
    <hyperlink ref="U247" r:id="rId13" xr:uid="{00000000-0004-0000-0800-00000C000000}"/>
    <hyperlink ref="U257" r:id="rId14" xr:uid="{00000000-0004-0000-0800-00000D000000}"/>
    <hyperlink ref="U265" r:id="rId15" xr:uid="{00000000-0004-0000-0800-00000E000000}"/>
    <hyperlink ref="U266" r:id="rId16" xr:uid="{00000000-0004-0000-0800-00000F000000}"/>
    <hyperlink ref="U308" r:id="rId17" xr:uid="{00000000-0004-0000-0800-000010000000}"/>
    <hyperlink ref="U309" r:id="rId18" xr:uid="{00000000-0004-0000-0800-000011000000}"/>
    <hyperlink ref="U310" r:id="rId19" xr:uid="{00000000-0004-0000-0800-000012000000}"/>
    <hyperlink ref="U316" r:id="rId20" xr:uid="{00000000-0004-0000-0800-000013000000}"/>
    <hyperlink ref="U317" r:id="rId21" xr:uid="{00000000-0004-0000-0800-000014000000}"/>
    <hyperlink ref="U320" r:id="rId22" xr:uid="{00000000-0004-0000-0800-000015000000}"/>
    <hyperlink ref="U322" r:id="rId23" xr:uid="{00000000-0004-0000-0800-000016000000}"/>
    <hyperlink ref="U323" r:id="rId24" xr:uid="{00000000-0004-0000-0800-000017000000}"/>
    <hyperlink ref="U325" r:id="rId25" xr:uid="{00000000-0004-0000-0800-000018000000}"/>
    <hyperlink ref="U327" r:id="rId26" xr:uid="{00000000-0004-0000-0800-000019000000}"/>
    <hyperlink ref="U460" r:id="rId27" xr:uid="{00000000-0004-0000-0800-00001A000000}"/>
    <hyperlink ref="U568" r:id="rId28" xr:uid="{00000000-0004-0000-0800-00001B000000}"/>
    <hyperlink ref="U572" r:id="rId29" xr:uid="{00000000-0004-0000-0800-00001C000000}"/>
    <hyperlink ref="U657" r:id="rId30" xr:uid="{00000000-0004-0000-0800-00001D000000}"/>
    <hyperlink ref="U877" r:id="rId31" xr:uid="{00000000-0004-0000-0800-00001E000000}"/>
    <hyperlink ref="U963" r:id="rId32" xr:uid="{00000000-0004-0000-0800-00001F000000}"/>
    <hyperlink ref="U964" r:id="rId33" xr:uid="{00000000-0004-0000-0800-000020000000}"/>
    <hyperlink ref="U967" r:id="rId34" xr:uid="{00000000-0004-0000-0800-000021000000}"/>
    <hyperlink ref="U969" r:id="rId35" xr:uid="{00000000-0004-0000-0800-000022000000}"/>
    <hyperlink ref="U979" r:id="rId36" xr:uid="{00000000-0004-0000-0800-000023000000}"/>
    <hyperlink ref="U980" r:id="rId37" xr:uid="{00000000-0004-0000-0800-000024000000}"/>
    <hyperlink ref="U1032" r:id="rId38" xr:uid="{00000000-0004-0000-0800-000025000000}"/>
    <hyperlink ref="U1049" r:id="rId39" xr:uid="{00000000-0004-0000-0800-000026000000}"/>
    <hyperlink ref="U1086" r:id="rId40" xr:uid="{00000000-0004-0000-0800-000027000000}"/>
    <hyperlink ref="U1111" r:id="rId41" xr:uid="{00000000-0004-0000-0800-000028000000}"/>
    <hyperlink ref="U1205" r:id="rId42" xr:uid="{00000000-0004-0000-0800-000029000000}"/>
    <hyperlink ref="U1207" r:id="rId43" xr:uid="{00000000-0004-0000-0800-00002A000000}"/>
    <hyperlink ref="U1211" r:id="rId44" xr:uid="{00000000-0004-0000-0800-00002B000000}"/>
    <hyperlink ref="U1212" r:id="rId45" xr:uid="{00000000-0004-0000-0800-00002C000000}"/>
  </hyperlinks>
  <pageMargins left="0.7" right="0.7" top="0.75" bottom="0.75" header="0.3" footer="0.3"/>
  <pageSetup orientation="portrait" r:id="rId46"/>
  <drawing r:id="rId47"/>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9DF9F5-FEE0-4B14-B7E5-199E61BF06C9}">
  <sheetPr codeName="Sheet10"/>
  <dimension ref="A1:AB1225"/>
  <sheetViews>
    <sheetView topLeftCell="C34" workbookViewId="0">
      <selection activeCell="X61" sqref="X61:Z61"/>
    </sheetView>
  </sheetViews>
  <sheetFormatPr defaultRowHeight="14.4"/>
  <cols>
    <col min="1" max="1" width="10.3671875" bestFit="1" customWidth="1"/>
    <col min="2" max="2" width="25.62890625" bestFit="1" customWidth="1"/>
    <col min="3" max="3" width="5.62890625" bestFit="1" customWidth="1"/>
    <col min="4" max="4" width="7.62890625" bestFit="1" customWidth="1"/>
    <col min="5" max="5" width="25.7890625" bestFit="1" customWidth="1"/>
    <col min="6" max="6" width="14.47265625" bestFit="1" customWidth="1"/>
    <col min="7" max="7" width="12.1015625" bestFit="1" customWidth="1"/>
    <col min="8" max="8" width="7.62890625" bestFit="1" customWidth="1"/>
    <col min="9" max="9" width="3.47265625" bestFit="1" customWidth="1"/>
    <col min="10" max="10" width="5.15625" style="1" bestFit="1" customWidth="1"/>
    <col min="11" max="11" width="9.62890625" bestFit="1" customWidth="1"/>
    <col min="12" max="12" width="10.15625" bestFit="1" customWidth="1"/>
    <col min="13" max="13" width="2.62890625" bestFit="1" customWidth="1"/>
    <col min="14" max="14" width="1.734375" bestFit="1" customWidth="1"/>
    <col min="15" max="16" width="1.62890625" bestFit="1" customWidth="1"/>
    <col min="17" max="17" width="2" bestFit="1" customWidth="1"/>
    <col min="18" max="18" width="9.62890625" hidden="1" customWidth="1"/>
    <col min="19" max="19" width="10.26171875" hidden="1" customWidth="1"/>
    <col min="20" max="20" width="16.62890625" hidden="1" customWidth="1"/>
    <col min="21" max="21" width="3.7890625" bestFit="1" customWidth="1"/>
    <col min="22" max="22" width="11.68359375" bestFit="1" customWidth="1"/>
    <col min="23" max="23" width="12.5234375" bestFit="1" customWidth="1"/>
    <col min="24" max="24" width="10.15625" bestFit="1" customWidth="1"/>
    <col min="25" max="25" width="10.15625" customWidth="1"/>
    <col min="26" max="26" width="5.26171875" bestFit="1" customWidth="1"/>
    <col min="27" max="27" width="14.7890625" bestFit="1" customWidth="1"/>
    <col min="28" max="28" width="66.7890625" bestFit="1" customWidth="1"/>
    <col min="29" max="29" width="52" bestFit="1" customWidth="1"/>
    <col min="30" max="30" width="5.734375" bestFit="1" customWidth="1"/>
    <col min="31" max="31" width="42" bestFit="1" customWidth="1"/>
    <col min="32" max="32" width="66.7890625" bestFit="1" customWidth="1"/>
    <col min="33" max="33" width="52" bestFit="1" customWidth="1"/>
    <col min="34" max="34" width="5.734375" bestFit="1" customWidth="1"/>
    <col min="35" max="35" width="42" bestFit="1" customWidth="1"/>
    <col min="36" max="36" width="66.7890625" bestFit="1" customWidth="1"/>
    <col min="37" max="37" width="52" bestFit="1" customWidth="1"/>
    <col min="38" max="38" width="5.734375" bestFit="1" customWidth="1"/>
    <col min="39" max="39" width="42" bestFit="1" customWidth="1"/>
    <col min="40" max="40" width="66.7890625" bestFit="1" customWidth="1"/>
    <col min="41" max="41" width="52.7890625" bestFit="1" customWidth="1"/>
    <col min="42" max="42" width="5.734375" bestFit="1" customWidth="1"/>
    <col min="43" max="43" width="42" bestFit="1" customWidth="1"/>
    <col min="44" max="44" width="15.734375" bestFit="1" customWidth="1"/>
    <col min="45" max="45" width="12.7890625" bestFit="1" customWidth="1"/>
    <col min="46" max="46" width="5.26171875" bestFit="1" customWidth="1"/>
    <col min="47" max="47" width="14.7890625" bestFit="1" customWidth="1"/>
    <col min="48" max="48" width="66.7890625" bestFit="1" customWidth="1"/>
    <col min="49" max="49" width="52.15625" bestFit="1" customWidth="1"/>
    <col min="50" max="50" width="5.26171875" bestFit="1" customWidth="1"/>
    <col min="51" max="51" width="14.7890625" bestFit="1" customWidth="1"/>
    <col min="52" max="52" width="15.734375" bestFit="1" customWidth="1"/>
    <col min="53" max="53" width="12.7890625" bestFit="1" customWidth="1"/>
    <col min="54" max="54" width="5.26171875" bestFit="1" customWidth="1"/>
    <col min="55" max="55" width="14.7890625" bestFit="1" customWidth="1"/>
    <col min="56" max="56" width="15.734375" bestFit="1" customWidth="1"/>
    <col min="57" max="57" width="12.7890625" bestFit="1" customWidth="1"/>
    <col min="58" max="58" width="5.26171875" bestFit="1" customWidth="1"/>
    <col min="59" max="59" width="14.7890625" bestFit="1" customWidth="1"/>
    <col min="60" max="60" width="66.7890625" bestFit="1" customWidth="1"/>
    <col min="61" max="61" width="52.15625" bestFit="1" customWidth="1"/>
    <col min="62" max="62" width="5.734375" bestFit="1" customWidth="1"/>
    <col min="63" max="63" width="42" bestFit="1" customWidth="1"/>
    <col min="64" max="64" width="15.734375" bestFit="1" customWidth="1"/>
    <col min="65" max="65" width="12.7890625" bestFit="1" customWidth="1"/>
    <col min="66" max="66" width="5.26171875" bestFit="1" customWidth="1"/>
    <col min="67" max="67" width="14.7890625" bestFit="1" customWidth="1"/>
    <col min="68" max="68" width="15.734375" bestFit="1" customWidth="1"/>
    <col min="69" max="69" width="12.7890625" bestFit="1" customWidth="1"/>
    <col min="70" max="70" width="5.26171875" bestFit="1" customWidth="1"/>
    <col min="71" max="71" width="14.7890625" bestFit="1" customWidth="1"/>
    <col min="72" max="72" width="15.734375" bestFit="1" customWidth="1"/>
    <col min="73" max="73" width="12.7890625" bestFit="1" customWidth="1"/>
    <col min="74" max="74" width="5.26171875" bestFit="1" customWidth="1"/>
    <col min="75" max="75" width="14.7890625" bestFit="1" customWidth="1"/>
    <col min="76" max="76" width="15.734375" bestFit="1" customWidth="1"/>
    <col min="77" max="77" width="12.7890625" bestFit="1" customWidth="1"/>
    <col min="78" max="78" width="5.26171875" bestFit="1" customWidth="1"/>
    <col min="79" max="79" width="14.7890625" bestFit="1" customWidth="1"/>
    <col min="80" max="80" width="66.7890625" bestFit="1" customWidth="1"/>
    <col min="81" max="81" width="52.15625" bestFit="1" customWidth="1"/>
    <col min="82" max="82" width="5.734375" bestFit="1" customWidth="1"/>
    <col min="83" max="83" width="42" bestFit="1" customWidth="1"/>
    <col min="84" max="84" width="15.734375" bestFit="1" customWidth="1"/>
    <col min="85" max="85" width="12.7890625" bestFit="1" customWidth="1"/>
    <col min="86" max="86" width="5.26171875" bestFit="1" customWidth="1"/>
    <col min="87" max="87" width="14.7890625" bestFit="1" customWidth="1"/>
    <col min="88" max="88" width="15.734375" bestFit="1" customWidth="1"/>
    <col min="89" max="89" width="12.7890625" bestFit="1" customWidth="1"/>
    <col min="90" max="90" width="5.26171875" bestFit="1" customWidth="1"/>
    <col min="91" max="91" width="14.7890625" bestFit="1" customWidth="1"/>
    <col min="92" max="92" width="66.7890625" bestFit="1" customWidth="1"/>
    <col min="93" max="93" width="52.15625" bestFit="1" customWidth="1"/>
    <col min="94" max="94" width="5.734375" bestFit="1" customWidth="1"/>
    <col min="95" max="95" width="42" bestFit="1" customWidth="1"/>
    <col min="96" max="96" width="15.734375" bestFit="1" customWidth="1"/>
    <col min="97" max="97" width="12.7890625" bestFit="1" customWidth="1"/>
    <col min="98" max="98" width="5.26171875" bestFit="1" customWidth="1"/>
    <col min="99" max="99" width="14.7890625" bestFit="1" customWidth="1"/>
    <col min="100" max="100" width="15.734375" bestFit="1" customWidth="1"/>
    <col min="101" max="101" width="12.7890625" bestFit="1" customWidth="1"/>
    <col min="102" max="102" width="14.26171875" bestFit="1" customWidth="1"/>
    <col min="103" max="105" width="14.26171875" customWidth="1"/>
    <col min="106" max="106" width="22.47265625" bestFit="1" customWidth="1"/>
    <col min="107" max="109" width="22.47265625" customWidth="1"/>
    <col min="110" max="110" width="8.5234375" bestFit="1" customWidth="1"/>
    <col min="111" max="111" width="15.7890625" bestFit="1" customWidth="1"/>
    <col min="112" max="112" width="18.7890625" bestFit="1" customWidth="1"/>
    <col min="113" max="113" width="16" bestFit="1" customWidth="1"/>
    <col min="114" max="114" width="22.47265625" bestFit="1" customWidth="1"/>
    <col min="115" max="117" width="22.47265625" customWidth="1"/>
    <col min="118" max="118" width="8.5234375" bestFit="1" customWidth="1"/>
    <col min="119" max="119" width="15.7890625" bestFit="1" customWidth="1"/>
    <col min="120" max="120" width="18.7890625" bestFit="1" customWidth="1"/>
    <col min="121" max="121" width="16" bestFit="1" customWidth="1"/>
    <col min="122" max="122" width="12.47265625" bestFit="1" customWidth="1"/>
    <col min="123" max="125" width="12.47265625" customWidth="1"/>
    <col min="126" max="126" width="14.26171875" bestFit="1" customWidth="1"/>
    <col min="127" max="128" width="14.26171875" customWidth="1"/>
    <col min="129" max="129" width="22.47265625" bestFit="1" customWidth="1"/>
    <col min="130" max="132" width="22.47265625" customWidth="1"/>
    <col min="133" max="133" width="5.26171875" bestFit="1" customWidth="1"/>
    <col min="134" max="134" width="14.7890625" bestFit="1" customWidth="1"/>
    <col min="135" max="135" width="15.7890625" bestFit="1" customWidth="1"/>
    <col min="136" max="136" width="18.7890625" bestFit="1" customWidth="1"/>
    <col min="137" max="137" width="16" bestFit="1" customWidth="1"/>
    <col min="138" max="140" width="12.47265625" customWidth="1"/>
    <col min="141" max="141" width="14.26171875" bestFit="1" customWidth="1"/>
    <col min="142" max="143" width="14.26171875" customWidth="1"/>
    <col min="144" max="144" width="22.47265625" bestFit="1" customWidth="1"/>
    <col min="145" max="146" width="22.47265625" customWidth="1"/>
    <col min="147" max="147" width="21.5234375" bestFit="1" customWidth="1"/>
    <col min="148" max="148" width="66.7890625" bestFit="1" customWidth="1"/>
    <col min="149" max="149" width="52.15625" bestFit="1" customWidth="1"/>
    <col min="150" max="150" width="5.734375" bestFit="1" customWidth="1"/>
  </cols>
  <sheetData>
    <row r="1" spans="1:28">
      <c r="A1" t="s">
        <v>742</v>
      </c>
      <c r="B1" t="s">
        <v>743</v>
      </c>
      <c r="C1" t="s">
        <v>744</v>
      </c>
      <c r="D1" t="s">
        <v>745</v>
      </c>
      <c r="E1" t="s">
        <v>746</v>
      </c>
      <c r="F1" t="s">
        <v>747</v>
      </c>
      <c r="G1" t="s">
        <v>748</v>
      </c>
      <c r="H1" t="s">
        <v>749</v>
      </c>
      <c r="I1" t="s">
        <v>750</v>
      </c>
      <c r="J1" s="1" t="s">
        <v>766</v>
      </c>
      <c r="K1" t="s">
        <v>0</v>
      </c>
      <c r="L1" t="s">
        <v>1</v>
      </c>
      <c r="M1" t="s">
        <v>2</v>
      </c>
      <c r="N1" t="s">
        <v>3</v>
      </c>
      <c r="O1" t="s">
        <v>4</v>
      </c>
      <c r="P1" t="s">
        <v>5</v>
      </c>
      <c r="Q1" t="s">
        <v>6</v>
      </c>
      <c r="R1" t="s">
        <v>751</v>
      </c>
      <c r="S1" t="s">
        <v>752</v>
      </c>
      <c r="T1" t="s">
        <v>753</v>
      </c>
      <c r="U1" t="s">
        <v>367</v>
      </c>
      <c r="V1" t="s">
        <v>767</v>
      </c>
      <c r="W1" t="s">
        <v>768</v>
      </c>
      <c r="X1" t="s">
        <v>777</v>
      </c>
      <c r="Y1" t="s">
        <v>778</v>
      </c>
      <c r="Z1" t="s">
        <v>779</v>
      </c>
      <c r="AA1" t="s">
        <v>716</v>
      </c>
      <c r="AB1" t="s">
        <v>1204</v>
      </c>
    </row>
    <row r="2" spans="1:28" s="619" customFormat="1">
      <c r="B2" t="s">
        <v>1334</v>
      </c>
      <c r="J2" s="664"/>
    </row>
    <row r="3" spans="1:28" s="607" customFormat="1">
      <c r="B3" s="607" t="s">
        <v>1335</v>
      </c>
      <c r="J3" s="665"/>
      <c r="L3" s="608"/>
    </row>
    <row r="4" spans="1:28">
      <c r="A4" t="s">
        <v>1021</v>
      </c>
      <c r="B4" s="672" t="s">
        <v>965</v>
      </c>
      <c r="C4">
        <v>0</v>
      </c>
      <c r="E4" s="673" t="s">
        <v>963</v>
      </c>
      <c r="G4" s="672" t="s">
        <v>961</v>
      </c>
      <c r="H4">
        <v>0.21099999999999999</v>
      </c>
      <c r="J4" s="666" t="s">
        <v>769</v>
      </c>
      <c r="K4">
        <v>105329607</v>
      </c>
      <c r="L4" s="2">
        <v>43070</v>
      </c>
      <c r="M4">
        <v>30</v>
      </c>
      <c r="N4">
        <v>1</v>
      </c>
      <c r="P4">
        <v>1</v>
      </c>
      <c r="Q4" t="s">
        <v>7</v>
      </c>
      <c r="X4" t="s">
        <v>1252</v>
      </c>
      <c r="Y4" t="s">
        <v>774</v>
      </c>
      <c r="Z4" t="s">
        <v>771</v>
      </c>
      <c r="AA4" t="s">
        <v>723</v>
      </c>
    </row>
    <row r="5" spans="1:28">
      <c r="A5" t="s">
        <v>1021</v>
      </c>
      <c r="B5" s="673" t="s">
        <v>967</v>
      </c>
      <c r="C5">
        <v>0</v>
      </c>
      <c r="E5" s="672" t="s">
        <v>965</v>
      </c>
      <c r="F5" s="675" t="s">
        <v>1023</v>
      </c>
      <c r="G5" s="673" t="s">
        <v>960</v>
      </c>
      <c r="H5">
        <v>1.4890000000000001</v>
      </c>
      <c r="J5" s="666" t="s">
        <v>769</v>
      </c>
      <c r="K5">
        <v>105329614</v>
      </c>
      <c r="L5" s="2">
        <v>43075</v>
      </c>
      <c r="M5">
        <v>30</v>
      </c>
      <c r="N5">
        <v>2</v>
      </c>
      <c r="O5">
        <v>7</v>
      </c>
      <c r="P5">
        <v>1</v>
      </c>
      <c r="Q5" t="s">
        <v>7</v>
      </c>
      <c r="X5" t="s">
        <v>1252</v>
      </c>
      <c r="Y5" t="s">
        <v>1240</v>
      </c>
      <c r="Z5" t="s">
        <v>1320</v>
      </c>
      <c r="AA5" t="s">
        <v>723</v>
      </c>
    </row>
    <row r="6" spans="1:28">
      <c r="A6" t="s">
        <v>1021</v>
      </c>
      <c r="B6" s="672" t="s">
        <v>965</v>
      </c>
      <c r="C6">
        <v>0</v>
      </c>
      <c r="E6" s="673" t="s">
        <v>967</v>
      </c>
      <c r="F6" s="674" t="s">
        <v>968</v>
      </c>
      <c r="G6" s="672" t="s">
        <v>961</v>
      </c>
      <c r="H6">
        <v>0.21099999999999999</v>
      </c>
      <c r="J6" s="605" t="s">
        <v>769</v>
      </c>
      <c r="K6">
        <v>106372334</v>
      </c>
      <c r="L6" s="2">
        <v>44095</v>
      </c>
      <c r="M6">
        <v>30</v>
      </c>
      <c r="N6">
        <v>1</v>
      </c>
      <c r="P6">
        <v>1</v>
      </c>
      <c r="Q6" t="s">
        <v>3</v>
      </c>
      <c r="U6" s="603"/>
      <c r="X6" t="s">
        <v>1261</v>
      </c>
      <c r="Y6" t="s">
        <v>774</v>
      </c>
      <c r="Z6" t="s">
        <v>1238</v>
      </c>
      <c r="AA6" t="s">
        <v>723</v>
      </c>
    </row>
    <row r="7" spans="1:28">
      <c r="A7" t="s">
        <v>1021</v>
      </c>
      <c r="B7" s="672" t="s">
        <v>965</v>
      </c>
      <c r="C7">
        <v>0.01</v>
      </c>
      <c r="D7" t="s">
        <v>758</v>
      </c>
      <c r="E7" s="673" t="s">
        <v>967</v>
      </c>
      <c r="F7" s="674" t="s">
        <v>968</v>
      </c>
      <c r="G7" s="672" t="s">
        <v>961</v>
      </c>
      <c r="H7">
        <v>0.20100000000000001</v>
      </c>
      <c r="J7" s="666" t="s">
        <v>769</v>
      </c>
      <c r="K7">
        <v>104999009</v>
      </c>
      <c r="L7" s="2">
        <v>42739</v>
      </c>
      <c r="M7">
        <v>30</v>
      </c>
      <c r="N7">
        <v>1</v>
      </c>
      <c r="O7">
        <v>4</v>
      </c>
      <c r="P7">
        <v>1</v>
      </c>
      <c r="Q7" t="s">
        <v>7</v>
      </c>
      <c r="X7" t="s">
        <v>1242</v>
      </c>
      <c r="Y7" t="s">
        <v>771</v>
      </c>
      <c r="Z7" t="s">
        <v>1238</v>
      </c>
      <c r="AA7" t="s">
        <v>722</v>
      </c>
    </row>
    <row r="8" spans="1:28">
      <c r="A8" t="s">
        <v>1021</v>
      </c>
      <c r="B8" s="672" t="s">
        <v>965</v>
      </c>
      <c r="C8">
        <v>0</v>
      </c>
      <c r="E8" s="673" t="s">
        <v>967</v>
      </c>
      <c r="G8" s="672" t="s">
        <v>961</v>
      </c>
      <c r="H8">
        <v>0.21099999999999999</v>
      </c>
      <c r="J8" s="666" t="s">
        <v>769</v>
      </c>
      <c r="K8">
        <v>105329610</v>
      </c>
      <c r="L8" s="2">
        <v>43073</v>
      </c>
      <c r="M8">
        <v>30</v>
      </c>
      <c r="N8">
        <v>1</v>
      </c>
      <c r="P8">
        <v>1</v>
      </c>
      <c r="Q8" t="s">
        <v>7</v>
      </c>
      <c r="X8" t="s">
        <v>1242</v>
      </c>
      <c r="Y8" t="s">
        <v>771</v>
      </c>
      <c r="Z8" t="s">
        <v>1238</v>
      </c>
      <c r="AA8" t="s">
        <v>722</v>
      </c>
    </row>
    <row r="9" spans="1:28">
      <c r="A9" t="s">
        <v>1021</v>
      </c>
      <c r="B9" s="672" t="s">
        <v>965</v>
      </c>
      <c r="C9">
        <v>0</v>
      </c>
      <c r="D9" t="s">
        <v>6</v>
      </c>
      <c r="E9" s="673" t="s">
        <v>967</v>
      </c>
      <c r="F9" s="674" t="s">
        <v>968</v>
      </c>
      <c r="G9" s="672" t="s">
        <v>961</v>
      </c>
      <c r="H9">
        <v>0.21099999999999999</v>
      </c>
      <c r="J9" s="605" t="s">
        <v>769</v>
      </c>
      <c r="K9">
        <v>106802009</v>
      </c>
      <c r="L9" s="2">
        <v>44334</v>
      </c>
      <c r="M9">
        <v>23</v>
      </c>
      <c r="N9">
        <v>1</v>
      </c>
      <c r="O9">
        <v>7</v>
      </c>
      <c r="P9">
        <v>1</v>
      </c>
      <c r="Q9" t="s">
        <v>7</v>
      </c>
      <c r="U9" s="603"/>
      <c r="X9" t="s">
        <v>1256</v>
      </c>
      <c r="Y9" t="s">
        <v>1257</v>
      </c>
      <c r="Z9" t="s">
        <v>1238</v>
      </c>
      <c r="AA9" t="s">
        <v>721</v>
      </c>
    </row>
    <row r="10" spans="1:28">
      <c r="A10" t="s">
        <v>1021</v>
      </c>
      <c r="B10" s="672" t="s">
        <v>965</v>
      </c>
      <c r="C10">
        <v>0</v>
      </c>
      <c r="E10" s="673" t="s">
        <v>967</v>
      </c>
      <c r="F10" s="673" t="s">
        <v>963</v>
      </c>
      <c r="G10" s="672" t="s">
        <v>961</v>
      </c>
      <c r="H10">
        <v>0.21099999999999999</v>
      </c>
      <c r="J10" s="666" t="s">
        <v>769</v>
      </c>
      <c r="K10">
        <v>105125296</v>
      </c>
      <c r="L10" s="2">
        <v>42878</v>
      </c>
      <c r="M10">
        <v>30</v>
      </c>
      <c r="N10">
        <v>2</v>
      </c>
      <c r="O10">
        <v>7</v>
      </c>
      <c r="P10">
        <v>1</v>
      </c>
      <c r="Q10" t="s">
        <v>7</v>
      </c>
      <c r="X10" t="s">
        <v>1254</v>
      </c>
      <c r="Y10" t="s">
        <v>772</v>
      </c>
      <c r="Z10" t="s">
        <v>781</v>
      </c>
      <c r="AA10" t="s">
        <v>722</v>
      </c>
      <c r="AB10" t="s">
        <v>1255</v>
      </c>
    </row>
    <row r="11" spans="1:28" s="619" customFormat="1">
      <c r="A11" t="s">
        <v>1021</v>
      </c>
      <c r="B11" s="673" t="s">
        <v>967</v>
      </c>
      <c r="C11">
        <v>0</v>
      </c>
      <c r="D11"/>
      <c r="E11" s="672" t="s">
        <v>965</v>
      </c>
      <c r="F11" s="673" t="s">
        <v>963</v>
      </c>
      <c r="G11" s="673" t="s">
        <v>960</v>
      </c>
      <c r="H11">
        <v>1.4890000000000001</v>
      </c>
      <c r="I11"/>
      <c r="J11" s="666" t="s">
        <v>769</v>
      </c>
      <c r="K11">
        <v>105682086</v>
      </c>
      <c r="L11" s="2">
        <v>43409</v>
      </c>
      <c r="M11">
        <v>27</v>
      </c>
      <c r="N11">
        <v>2</v>
      </c>
      <c r="O11">
        <v>7</v>
      </c>
      <c r="P11">
        <v>1</v>
      </c>
      <c r="Q11" t="s">
        <v>3</v>
      </c>
      <c r="R11"/>
      <c r="S11"/>
      <c r="T11"/>
      <c r="U11"/>
      <c r="V11"/>
      <c r="W11"/>
      <c r="X11" t="s">
        <v>1254</v>
      </c>
      <c r="Y11" t="s">
        <v>772</v>
      </c>
      <c r="Z11" t="s">
        <v>781</v>
      </c>
      <c r="AA11" t="s">
        <v>722</v>
      </c>
      <c r="AB11" t="s">
        <v>1321</v>
      </c>
    </row>
    <row r="12" spans="1:28">
      <c r="A12" t="s">
        <v>1021</v>
      </c>
      <c r="B12" s="672" t="s">
        <v>965</v>
      </c>
      <c r="C12">
        <v>0</v>
      </c>
      <c r="D12" t="s">
        <v>6</v>
      </c>
      <c r="E12" s="673" t="s">
        <v>967</v>
      </c>
      <c r="F12" s="673" t="s">
        <v>963</v>
      </c>
      <c r="G12" s="672" t="s">
        <v>961</v>
      </c>
      <c r="H12">
        <v>0.21099999999999999</v>
      </c>
      <c r="J12" s="666" t="s">
        <v>769</v>
      </c>
      <c r="K12">
        <v>105984052</v>
      </c>
      <c r="L12" s="2">
        <v>43696</v>
      </c>
      <c r="M12">
        <v>30</v>
      </c>
      <c r="N12">
        <v>1</v>
      </c>
      <c r="O12">
        <v>7</v>
      </c>
      <c r="P12">
        <v>1</v>
      </c>
      <c r="Q12" t="s">
        <v>3</v>
      </c>
      <c r="X12" t="s">
        <v>1254</v>
      </c>
      <c r="Y12" t="s">
        <v>772</v>
      </c>
      <c r="Z12" t="s">
        <v>781</v>
      </c>
      <c r="AA12" t="s">
        <v>722</v>
      </c>
      <c r="AB12" t="s">
        <v>1255</v>
      </c>
    </row>
    <row r="13" spans="1:28" s="617" customFormat="1">
      <c r="A13" t="s">
        <v>1021</v>
      </c>
      <c r="B13" s="672" t="s">
        <v>965</v>
      </c>
      <c r="C13">
        <v>1.4E-2</v>
      </c>
      <c r="D13" t="s">
        <v>756</v>
      </c>
      <c r="E13" s="673" t="s">
        <v>963</v>
      </c>
      <c r="F13" s="675" t="s">
        <v>1023</v>
      </c>
      <c r="G13" s="672" t="s">
        <v>961</v>
      </c>
      <c r="H13">
        <v>0.22500000000000001</v>
      </c>
      <c r="I13"/>
      <c r="J13" s="666" t="s">
        <v>769</v>
      </c>
      <c r="K13">
        <v>105186073</v>
      </c>
      <c r="L13" s="2">
        <v>42944</v>
      </c>
      <c r="M13">
        <v>19</v>
      </c>
      <c r="N13">
        <v>2</v>
      </c>
      <c r="O13">
        <v>7</v>
      </c>
      <c r="P13">
        <v>2</v>
      </c>
      <c r="Q13" t="s">
        <v>7</v>
      </c>
      <c r="R13"/>
      <c r="S13"/>
      <c r="T13"/>
      <c r="U13"/>
      <c r="V13"/>
      <c r="W13"/>
      <c r="X13" t="s">
        <v>1294</v>
      </c>
      <c r="Y13" t="s">
        <v>1240</v>
      </c>
      <c r="Z13"/>
      <c r="AA13" t="s">
        <v>310</v>
      </c>
      <c r="AB13"/>
    </row>
    <row r="14" spans="1:28">
      <c r="A14" t="s">
        <v>1021</v>
      </c>
      <c r="B14" s="673" t="s">
        <v>967</v>
      </c>
      <c r="C14">
        <v>0</v>
      </c>
      <c r="E14" s="672" t="s">
        <v>1100</v>
      </c>
      <c r="F14" s="673" t="s">
        <v>1076</v>
      </c>
      <c r="G14" s="673" t="s">
        <v>967</v>
      </c>
      <c r="H14">
        <v>999.99900000000002</v>
      </c>
      <c r="J14" s="666" t="s">
        <v>773</v>
      </c>
      <c r="K14">
        <v>105486834</v>
      </c>
      <c r="L14" s="2">
        <v>43224</v>
      </c>
      <c r="M14">
        <v>14</v>
      </c>
      <c r="N14">
        <v>1</v>
      </c>
      <c r="O14">
        <v>7</v>
      </c>
      <c r="P14">
        <v>1</v>
      </c>
      <c r="Q14" t="s">
        <v>3</v>
      </c>
      <c r="R14">
        <v>35.178255</v>
      </c>
      <c r="S14">
        <v>-79.428002000000006</v>
      </c>
      <c r="T14" t="s">
        <v>1077</v>
      </c>
      <c r="U14" t="s">
        <v>367</v>
      </c>
      <c r="V14">
        <v>5.1000000000000004E-3</v>
      </c>
      <c r="W14" s="672" t="s">
        <v>1205</v>
      </c>
      <c r="X14" t="s">
        <v>1206</v>
      </c>
      <c r="AA14" t="s">
        <v>722</v>
      </c>
      <c r="AB14" t="s">
        <v>1207</v>
      </c>
    </row>
    <row r="15" spans="1:28">
      <c r="A15" t="s">
        <v>1021</v>
      </c>
      <c r="B15" s="673" t="s">
        <v>967</v>
      </c>
      <c r="C15">
        <v>0</v>
      </c>
      <c r="E15" s="672" t="s">
        <v>965</v>
      </c>
      <c r="F15" s="673" t="s">
        <v>963</v>
      </c>
      <c r="G15" s="673" t="s">
        <v>960</v>
      </c>
      <c r="H15">
        <v>1.4890000000000001</v>
      </c>
      <c r="J15" s="606" t="s">
        <v>769</v>
      </c>
      <c r="K15">
        <v>105984439</v>
      </c>
      <c r="L15" s="2">
        <v>43699</v>
      </c>
      <c r="M15">
        <v>21</v>
      </c>
      <c r="N15">
        <v>1</v>
      </c>
      <c r="O15">
        <v>7</v>
      </c>
      <c r="P15">
        <v>1</v>
      </c>
      <c r="Q15" t="s">
        <v>3</v>
      </c>
      <c r="U15" s="603"/>
      <c r="X15" t="s">
        <v>1291</v>
      </c>
      <c r="Y15" t="s">
        <v>1320</v>
      </c>
      <c r="Z15" t="s">
        <v>1320</v>
      </c>
      <c r="AA15" t="s">
        <v>722</v>
      </c>
    </row>
    <row r="16" spans="1:28">
      <c r="A16" s="619" t="s">
        <v>1021</v>
      </c>
      <c r="B16" s="672" t="s">
        <v>965</v>
      </c>
      <c r="C16">
        <v>0</v>
      </c>
      <c r="D16" t="s">
        <v>758</v>
      </c>
      <c r="E16" s="673" t="s">
        <v>967</v>
      </c>
      <c r="F16" s="674" t="s">
        <v>968</v>
      </c>
      <c r="G16" s="672" t="s">
        <v>961</v>
      </c>
      <c r="H16">
        <v>0.21099999999999999</v>
      </c>
      <c r="J16" s="1" t="s">
        <v>769</v>
      </c>
      <c r="K16">
        <v>105465438</v>
      </c>
      <c r="L16" s="2">
        <v>43209</v>
      </c>
      <c r="M16">
        <v>21</v>
      </c>
      <c r="N16">
        <v>1</v>
      </c>
      <c r="O16">
        <v>0</v>
      </c>
      <c r="P16">
        <v>1</v>
      </c>
      <c r="Q16" t="s">
        <v>7</v>
      </c>
      <c r="X16" t="s">
        <v>1219</v>
      </c>
      <c r="Y16" t="s">
        <v>1238</v>
      </c>
      <c r="Z16" t="s">
        <v>1241</v>
      </c>
      <c r="AA16" t="s">
        <v>724</v>
      </c>
    </row>
    <row r="17" spans="1:28">
      <c r="A17" t="s">
        <v>1021</v>
      </c>
      <c r="B17" s="672" t="s">
        <v>965</v>
      </c>
      <c r="C17">
        <v>4.0000000000000001E-3</v>
      </c>
      <c r="D17" t="s">
        <v>758</v>
      </c>
      <c r="E17" s="673" t="s">
        <v>967</v>
      </c>
      <c r="F17" s="674" t="s">
        <v>968</v>
      </c>
      <c r="G17" s="672" t="s">
        <v>961</v>
      </c>
      <c r="H17">
        <v>0.20699999999999999</v>
      </c>
      <c r="J17" s="1" t="s">
        <v>769</v>
      </c>
      <c r="K17">
        <v>106350413</v>
      </c>
      <c r="L17" s="2">
        <v>44069</v>
      </c>
      <c r="M17">
        <v>21</v>
      </c>
      <c r="N17">
        <v>1</v>
      </c>
      <c r="P17">
        <v>1</v>
      </c>
      <c r="Q17" t="s">
        <v>7</v>
      </c>
      <c r="U17" s="603"/>
      <c r="X17" t="s">
        <v>1219</v>
      </c>
      <c r="Y17" t="s">
        <v>1247</v>
      </c>
      <c r="Z17" t="s">
        <v>1247</v>
      </c>
      <c r="AA17" t="s">
        <v>724</v>
      </c>
    </row>
    <row r="18" spans="1:28">
      <c r="A18" t="s">
        <v>1021</v>
      </c>
      <c r="B18" s="672" t="s">
        <v>965</v>
      </c>
      <c r="C18">
        <v>0.01</v>
      </c>
      <c r="D18" t="s">
        <v>758</v>
      </c>
      <c r="E18" s="673" t="s">
        <v>967</v>
      </c>
      <c r="F18" s="674" t="s">
        <v>968</v>
      </c>
      <c r="G18" s="672" t="s">
        <v>961</v>
      </c>
      <c r="H18">
        <v>0.20100000000000001</v>
      </c>
      <c r="J18" s="605" t="s">
        <v>769</v>
      </c>
      <c r="K18">
        <v>106802024</v>
      </c>
      <c r="L18" s="2">
        <v>44342</v>
      </c>
      <c r="M18">
        <v>21</v>
      </c>
      <c r="N18">
        <v>1</v>
      </c>
      <c r="O18">
        <v>0</v>
      </c>
      <c r="P18">
        <v>1</v>
      </c>
      <c r="Q18" t="s">
        <v>7</v>
      </c>
      <c r="U18" s="603"/>
      <c r="X18" t="s">
        <v>1219</v>
      </c>
      <c r="Y18" t="s">
        <v>1238</v>
      </c>
      <c r="Z18" t="s">
        <v>1241</v>
      </c>
      <c r="AA18" t="s">
        <v>724</v>
      </c>
    </row>
    <row r="19" spans="1:28">
      <c r="A19" s="619" t="s">
        <v>1021</v>
      </c>
      <c r="B19" s="672" t="s">
        <v>965</v>
      </c>
      <c r="C19">
        <v>1.0999999999999999E-2</v>
      </c>
      <c r="D19" t="s">
        <v>756</v>
      </c>
      <c r="E19" s="673" t="s">
        <v>963</v>
      </c>
      <c r="F19" s="675" t="s">
        <v>1020</v>
      </c>
      <c r="G19" s="672" t="s">
        <v>961</v>
      </c>
      <c r="H19">
        <v>0.222</v>
      </c>
      <c r="J19" s="667" t="s">
        <v>769</v>
      </c>
      <c r="K19">
        <v>105611574</v>
      </c>
      <c r="L19" s="618">
        <v>43352</v>
      </c>
      <c r="M19">
        <v>1</v>
      </c>
      <c r="N19">
        <v>2</v>
      </c>
      <c r="O19">
        <v>0</v>
      </c>
      <c r="P19">
        <v>5</v>
      </c>
      <c r="Q19" t="s">
        <v>7</v>
      </c>
      <c r="X19" t="s">
        <v>1293</v>
      </c>
      <c r="Y19" t="s">
        <v>774</v>
      </c>
      <c r="AA19" t="s">
        <v>723</v>
      </c>
    </row>
    <row r="20" spans="1:28">
      <c r="A20" t="s">
        <v>1021</v>
      </c>
      <c r="B20" s="673" t="s">
        <v>967</v>
      </c>
      <c r="C20">
        <v>1.4E-2</v>
      </c>
      <c r="D20" t="s">
        <v>757</v>
      </c>
      <c r="E20" s="672" t="s">
        <v>965</v>
      </c>
      <c r="F20" s="675" t="s">
        <v>966</v>
      </c>
      <c r="G20" s="673" t="s">
        <v>960</v>
      </c>
      <c r="H20">
        <v>1.4750000000000001</v>
      </c>
      <c r="J20" s="666" t="s">
        <v>769</v>
      </c>
      <c r="K20">
        <v>105233216</v>
      </c>
      <c r="L20" s="2">
        <v>42985</v>
      </c>
      <c r="M20">
        <v>26</v>
      </c>
      <c r="N20">
        <v>1</v>
      </c>
      <c r="O20">
        <v>7</v>
      </c>
      <c r="P20">
        <v>1</v>
      </c>
      <c r="Q20" t="s">
        <v>7</v>
      </c>
      <c r="X20" t="s">
        <v>1317</v>
      </c>
      <c r="Y20" t="s">
        <v>1318</v>
      </c>
      <c r="Z20" t="s">
        <v>771</v>
      </c>
      <c r="AA20" t="s">
        <v>721</v>
      </c>
    </row>
    <row r="21" spans="1:28">
      <c r="A21" t="s">
        <v>754</v>
      </c>
      <c r="B21" s="672" t="s">
        <v>965</v>
      </c>
      <c r="C21">
        <v>4.0000000000000001E-3</v>
      </c>
      <c r="D21" t="s">
        <v>758</v>
      </c>
      <c r="E21" s="673" t="s">
        <v>967</v>
      </c>
      <c r="F21" s="675" t="s">
        <v>1020</v>
      </c>
      <c r="G21" s="672" t="s">
        <v>961</v>
      </c>
      <c r="H21">
        <v>0.20699999999999999</v>
      </c>
      <c r="J21" s="605" t="s">
        <v>769</v>
      </c>
      <c r="K21">
        <v>106231607</v>
      </c>
      <c r="L21" s="2">
        <v>43901</v>
      </c>
      <c r="M21">
        <v>28</v>
      </c>
      <c r="N21">
        <v>1</v>
      </c>
      <c r="O21">
        <v>7</v>
      </c>
      <c r="P21">
        <v>1</v>
      </c>
      <c r="Q21" t="s">
        <v>7</v>
      </c>
      <c r="U21" s="603"/>
      <c r="X21" t="s">
        <v>1226</v>
      </c>
      <c r="Y21" t="s">
        <v>1246</v>
      </c>
      <c r="Z21" t="s">
        <v>774</v>
      </c>
      <c r="AA21" t="s">
        <v>723</v>
      </c>
    </row>
    <row r="22" spans="1:28">
      <c r="A22" t="s">
        <v>1021</v>
      </c>
      <c r="B22" s="672" t="s">
        <v>965</v>
      </c>
      <c r="C22">
        <v>4.0000000000000001E-3</v>
      </c>
      <c r="D22" t="s">
        <v>758</v>
      </c>
      <c r="E22" s="673" t="s">
        <v>967</v>
      </c>
      <c r="F22" s="675" t="s">
        <v>1020</v>
      </c>
      <c r="G22" s="672" t="s">
        <v>961</v>
      </c>
      <c r="H22">
        <v>0.20699999999999999</v>
      </c>
      <c r="J22" s="605" t="s">
        <v>769</v>
      </c>
      <c r="K22">
        <v>106223033</v>
      </c>
      <c r="L22" s="2">
        <v>43901</v>
      </c>
      <c r="M22">
        <v>28</v>
      </c>
      <c r="N22">
        <v>1</v>
      </c>
      <c r="O22">
        <v>7</v>
      </c>
      <c r="P22">
        <v>1</v>
      </c>
      <c r="Q22" t="s">
        <v>7</v>
      </c>
      <c r="U22" s="603"/>
      <c r="X22" t="s">
        <v>1226</v>
      </c>
      <c r="Y22" t="s">
        <v>1246</v>
      </c>
      <c r="Z22" t="s">
        <v>774</v>
      </c>
      <c r="AA22" t="s">
        <v>723</v>
      </c>
    </row>
    <row r="23" spans="1:28">
      <c r="A23" t="s">
        <v>1021</v>
      </c>
      <c r="B23" s="672" t="s">
        <v>965</v>
      </c>
      <c r="C23">
        <v>2.1000000000000001E-2</v>
      </c>
      <c r="D23" t="s">
        <v>756</v>
      </c>
      <c r="E23" s="673" t="s">
        <v>967</v>
      </c>
      <c r="F23" s="675" t="s">
        <v>1020</v>
      </c>
      <c r="G23" s="672" t="s">
        <v>961</v>
      </c>
      <c r="H23">
        <v>0.23200000000000001</v>
      </c>
      <c r="J23" s="666" t="s">
        <v>769</v>
      </c>
      <c r="K23">
        <v>105741351</v>
      </c>
      <c r="L23" s="2">
        <v>43453</v>
      </c>
      <c r="M23">
        <v>28</v>
      </c>
      <c r="N23">
        <v>1</v>
      </c>
      <c r="O23">
        <v>7</v>
      </c>
      <c r="P23">
        <v>1</v>
      </c>
      <c r="Q23" t="s">
        <v>7</v>
      </c>
      <c r="X23" t="s">
        <v>1295</v>
      </c>
      <c r="Y23" t="s">
        <v>1237</v>
      </c>
      <c r="Z23" t="s">
        <v>1238</v>
      </c>
      <c r="AA23" t="s">
        <v>724</v>
      </c>
    </row>
    <row r="24" spans="1:28" s="607" customFormat="1">
      <c r="B24" s="607" t="s">
        <v>1336</v>
      </c>
      <c r="J24" s="668"/>
      <c r="L24" s="608"/>
    </row>
    <row r="25" spans="1:28" s="615" customFormat="1">
      <c r="A25" s="614" t="s">
        <v>1021</v>
      </c>
      <c r="B25" s="672" t="s">
        <v>965</v>
      </c>
      <c r="C25">
        <v>0</v>
      </c>
      <c r="D25"/>
      <c r="E25" s="673" t="s">
        <v>967</v>
      </c>
      <c r="F25" s="674" t="s">
        <v>968</v>
      </c>
      <c r="G25" s="672" t="s">
        <v>961</v>
      </c>
      <c r="H25">
        <v>0.21099999999999999</v>
      </c>
      <c r="I25"/>
      <c r="J25" s="1" t="s">
        <v>769</v>
      </c>
      <c r="K25">
        <v>106802287</v>
      </c>
      <c r="L25" s="616">
        <v>44481</v>
      </c>
      <c r="M25">
        <v>24</v>
      </c>
      <c r="N25">
        <v>1</v>
      </c>
      <c r="O25">
        <v>7</v>
      </c>
      <c r="P25">
        <v>1</v>
      </c>
      <c r="Q25" t="s">
        <v>3</v>
      </c>
      <c r="R25"/>
      <c r="S25"/>
      <c r="T25"/>
      <c r="U25"/>
      <c r="V25"/>
      <c r="W25"/>
      <c r="X25" t="s">
        <v>1259</v>
      </c>
      <c r="Y25" t="s">
        <v>1257</v>
      </c>
      <c r="Z25" t="s">
        <v>1238</v>
      </c>
      <c r="AA25" t="s">
        <v>721</v>
      </c>
      <c r="AB25"/>
    </row>
    <row r="26" spans="1:28" s="607" customFormat="1">
      <c r="B26" s="607" t="s">
        <v>1337</v>
      </c>
      <c r="J26" s="665"/>
      <c r="L26" s="608"/>
      <c r="U26" s="663"/>
    </row>
    <row r="27" spans="1:28">
      <c r="A27" t="s">
        <v>1021</v>
      </c>
      <c r="B27" s="672" t="s">
        <v>965</v>
      </c>
      <c r="C27">
        <v>0</v>
      </c>
      <c r="E27" s="673" t="s">
        <v>963</v>
      </c>
      <c r="F27" s="675" t="s">
        <v>1023</v>
      </c>
      <c r="G27" s="672" t="s">
        <v>961</v>
      </c>
      <c r="H27">
        <v>0.21099999999999999</v>
      </c>
      <c r="J27" s="1" t="s">
        <v>769</v>
      </c>
      <c r="K27">
        <v>107272557</v>
      </c>
      <c r="L27" s="2">
        <v>44999</v>
      </c>
      <c r="M27">
        <v>30</v>
      </c>
      <c r="N27">
        <v>1</v>
      </c>
      <c r="O27">
        <v>7</v>
      </c>
      <c r="P27">
        <v>1</v>
      </c>
      <c r="Q27" t="s">
        <v>3</v>
      </c>
      <c r="X27" t="s">
        <v>1250</v>
      </c>
      <c r="Y27" t="s">
        <v>774</v>
      </c>
      <c r="Z27" t="s">
        <v>781</v>
      </c>
      <c r="AA27" t="s">
        <v>723</v>
      </c>
    </row>
    <row r="28" spans="1:28">
      <c r="A28" t="s">
        <v>1021</v>
      </c>
      <c r="B28" s="673" t="s">
        <v>967</v>
      </c>
      <c r="C28">
        <v>0</v>
      </c>
      <c r="E28" s="672" t="s">
        <v>965</v>
      </c>
      <c r="F28" s="675" t="s">
        <v>1020</v>
      </c>
      <c r="G28" s="673" t="s">
        <v>960</v>
      </c>
      <c r="H28">
        <v>1.4890000000000001</v>
      </c>
      <c r="J28" s="1" t="s">
        <v>769</v>
      </c>
      <c r="K28">
        <v>108604168</v>
      </c>
      <c r="L28" s="2">
        <v>46262</v>
      </c>
      <c r="M28">
        <v>30</v>
      </c>
      <c r="N28">
        <v>2</v>
      </c>
      <c r="O28">
        <v>7</v>
      </c>
      <c r="P28">
        <v>1</v>
      </c>
      <c r="Q28" t="s">
        <v>7</v>
      </c>
      <c r="U28" s="603"/>
      <c r="X28" t="s">
        <v>1252</v>
      </c>
      <c r="Y28" t="s">
        <v>774</v>
      </c>
      <c r="Z28" t="s">
        <v>771</v>
      </c>
      <c r="AA28" t="s">
        <v>723</v>
      </c>
    </row>
    <row r="29" spans="1:28" s="612" customFormat="1">
      <c r="A29" t="s">
        <v>1021</v>
      </c>
      <c r="B29" s="672" t="s">
        <v>965</v>
      </c>
      <c r="C29">
        <v>0</v>
      </c>
      <c r="D29"/>
      <c r="E29" s="673" t="s">
        <v>963</v>
      </c>
      <c r="F29" s="675" t="s">
        <v>1023</v>
      </c>
      <c r="G29" s="672" t="s">
        <v>961</v>
      </c>
      <c r="H29">
        <v>0.21099999999999999</v>
      </c>
      <c r="I29"/>
      <c r="J29" s="1" t="s">
        <v>769</v>
      </c>
      <c r="K29">
        <v>107702985</v>
      </c>
      <c r="L29" s="2">
        <v>45410</v>
      </c>
      <c r="M29">
        <v>30</v>
      </c>
      <c r="N29">
        <v>1</v>
      </c>
      <c r="O29">
        <v>7</v>
      </c>
      <c r="P29">
        <v>1</v>
      </c>
      <c r="Q29" t="s">
        <v>3</v>
      </c>
      <c r="R29"/>
      <c r="S29"/>
      <c r="T29"/>
      <c r="U29" s="603"/>
      <c r="V29"/>
      <c r="W29"/>
      <c r="X29" t="s">
        <v>1249</v>
      </c>
      <c r="Y29" t="s">
        <v>772</v>
      </c>
      <c r="Z29" t="s">
        <v>774</v>
      </c>
      <c r="AA29" t="s">
        <v>722</v>
      </c>
      <c r="AB29"/>
    </row>
    <row r="30" spans="1:28">
      <c r="A30" t="s">
        <v>1021</v>
      </c>
      <c r="B30" s="673" t="s">
        <v>967</v>
      </c>
      <c r="C30">
        <v>1.9E-2</v>
      </c>
      <c r="D30" t="s">
        <v>6</v>
      </c>
      <c r="E30" s="672" t="s">
        <v>965</v>
      </c>
      <c r="F30" s="673" t="s">
        <v>963</v>
      </c>
      <c r="G30" s="673" t="s">
        <v>960</v>
      </c>
      <c r="H30">
        <v>1.4890000000000001</v>
      </c>
      <c r="J30" s="1" t="s">
        <v>769</v>
      </c>
      <c r="K30">
        <v>107845703</v>
      </c>
      <c r="L30" s="2">
        <v>45546</v>
      </c>
      <c r="M30">
        <v>30</v>
      </c>
      <c r="N30">
        <v>1</v>
      </c>
      <c r="O30">
        <v>0</v>
      </c>
      <c r="P30">
        <v>1</v>
      </c>
      <c r="Q30" t="s">
        <v>7</v>
      </c>
      <c r="X30" t="s">
        <v>1316</v>
      </c>
      <c r="Y30" t="s">
        <v>772</v>
      </c>
      <c r="Z30" t="s">
        <v>772</v>
      </c>
      <c r="AA30" t="s">
        <v>722</v>
      </c>
    </row>
    <row r="31" spans="1:28">
      <c r="A31" t="s">
        <v>1021</v>
      </c>
      <c r="B31" s="673" t="s">
        <v>967</v>
      </c>
      <c r="C31">
        <v>1.9E-2</v>
      </c>
      <c r="D31" t="s">
        <v>757</v>
      </c>
      <c r="E31" s="672" t="s">
        <v>965</v>
      </c>
      <c r="F31" s="673" t="s">
        <v>963</v>
      </c>
      <c r="G31" s="673" t="s">
        <v>960</v>
      </c>
      <c r="H31">
        <v>1.47</v>
      </c>
      <c r="J31" s="1" t="s">
        <v>769</v>
      </c>
      <c r="K31">
        <v>108278028</v>
      </c>
      <c r="L31" s="2">
        <v>45955</v>
      </c>
      <c r="M31">
        <v>30</v>
      </c>
      <c r="N31">
        <v>1</v>
      </c>
      <c r="O31">
        <v>0</v>
      </c>
      <c r="P31">
        <v>4</v>
      </c>
      <c r="Q31" t="s">
        <v>7</v>
      </c>
      <c r="X31" t="s">
        <v>1316</v>
      </c>
      <c r="Y31" t="s">
        <v>772</v>
      </c>
      <c r="Z31" t="s">
        <v>771</v>
      </c>
      <c r="AA31" t="s">
        <v>722</v>
      </c>
    </row>
    <row r="32" spans="1:28">
      <c r="A32" t="s">
        <v>1021</v>
      </c>
      <c r="B32" s="672" t="s">
        <v>965</v>
      </c>
      <c r="C32">
        <v>0</v>
      </c>
      <c r="E32" s="673" t="s">
        <v>967</v>
      </c>
      <c r="G32" s="672" t="s">
        <v>961</v>
      </c>
      <c r="H32">
        <v>0.21099999999999999</v>
      </c>
      <c r="J32" s="1" t="s">
        <v>769</v>
      </c>
      <c r="K32">
        <v>107007989</v>
      </c>
      <c r="L32" s="2">
        <v>44748</v>
      </c>
      <c r="M32">
        <v>30</v>
      </c>
      <c r="N32">
        <v>1</v>
      </c>
      <c r="O32">
        <v>7</v>
      </c>
      <c r="P32">
        <v>1</v>
      </c>
      <c r="Q32" t="s">
        <v>7</v>
      </c>
      <c r="X32" t="s">
        <v>1242</v>
      </c>
      <c r="Y32" t="s">
        <v>1263</v>
      </c>
      <c r="Z32" t="s">
        <v>1238</v>
      </c>
      <c r="AA32" t="s">
        <v>722</v>
      </c>
    </row>
    <row r="33" spans="1:28">
      <c r="A33" t="s">
        <v>1021</v>
      </c>
      <c r="B33" s="672" t="s">
        <v>965</v>
      </c>
      <c r="C33">
        <v>0</v>
      </c>
      <c r="D33" t="s">
        <v>6</v>
      </c>
      <c r="E33" s="673" t="s">
        <v>963</v>
      </c>
      <c r="F33" s="673" t="s">
        <v>967</v>
      </c>
      <c r="G33" s="672" t="s">
        <v>961</v>
      </c>
      <c r="H33">
        <v>0.21099999999999999</v>
      </c>
      <c r="J33" s="1" t="s">
        <v>769</v>
      </c>
      <c r="K33">
        <v>107813734</v>
      </c>
      <c r="L33" s="2">
        <v>45516</v>
      </c>
      <c r="M33">
        <v>30</v>
      </c>
      <c r="N33">
        <v>1</v>
      </c>
      <c r="O33">
        <v>0</v>
      </c>
      <c r="P33">
        <v>1</v>
      </c>
      <c r="Q33" t="s">
        <v>7</v>
      </c>
      <c r="U33" s="603"/>
      <c r="X33" t="s">
        <v>1251</v>
      </c>
      <c r="Y33" t="s">
        <v>1238</v>
      </c>
      <c r="Z33" t="s">
        <v>781</v>
      </c>
      <c r="AA33" t="s">
        <v>724</v>
      </c>
    </row>
    <row r="34" spans="1:28">
      <c r="A34" s="611" t="s">
        <v>1021</v>
      </c>
      <c r="B34" s="672" t="s">
        <v>965</v>
      </c>
      <c r="C34">
        <v>0</v>
      </c>
      <c r="E34" s="673" t="s">
        <v>967</v>
      </c>
      <c r="F34" s="674" t="s">
        <v>968</v>
      </c>
      <c r="G34" s="672" t="s">
        <v>961</v>
      </c>
      <c r="H34">
        <v>0.21099999999999999</v>
      </c>
      <c r="J34" s="1" t="s">
        <v>769</v>
      </c>
      <c r="K34">
        <v>106907157</v>
      </c>
      <c r="L34" s="613">
        <v>44652</v>
      </c>
      <c r="M34">
        <v>30</v>
      </c>
      <c r="N34">
        <v>1</v>
      </c>
      <c r="O34">
        <v>7</v>
      </c>
      <c r="P34">
        <v>1</v>
      </c>
      <c r="Q34" t="s">
        <v>7</v>
      </c>
      <c r="X34" t="s">
        <v>1262</v>
      </c>
      <c r="Y34" t="s">
        <v>1238</v>
      </c>
      <c r="Z34" t="s">
        <v>772</v>
      </c>
      <c r="AA34" t="s">
        <v>724</v>
      </c>
    </row>
    <row r="35" spans="1:28">
      <c r="A35" t="s">
        <v>1021</v>
      </c>
      <c r="B35" s="673" t="s">
        <v>967</v>
      </c>
      <c r="C35">
        <v>0</v>
      </c>
      <c r="D35" t="s">
        <v>757</v>
      </c>
      <c r="E35" s="672" t="s">
        <v>965</v>
      </c>
      <c r="F35" s="675" t="s">
        <v>1018</v>
      </c>
      <c r="G35" s="673" t="s">
        <v>960</v>
      </c>
      <c r="H35">
        <v>1.4890000000000001</v>
      </c>
      <c r="J35" s="1" t="s">
        <v>769</v>
      </c>
      <c r="K35">
        <v>107220961</v>
      </c>
      <c r="L35" s="2">
        <v>44848</v>
      </c>
      <c r="M35">
        <v>30</v>
      </c>
      <c r="N35">
        <v>1</v>
      </c>
      <c r="O35">
        <v>8</v>
      </c>
      <c r="P35">
        <v>1</v>
      </c>
      <c r="Q35" t="s">
        <v>7</v>
      </c>
      <c r="U35" s="603"/>
      <c r="X35" t="s">
        <v>1262</v>
      </c>
      <c r="Y35" t="s">
        <v>780</v>
      </c>
      <c r="Z35" t="s">
        <v>771</v>
      </c>
      <c r="AA35" t="s">
        <v>724</v>
      </c>
    </row>
    <row r="36" spans="1:28">
      <c r="A36" t="s">
        <v>1021</v>
      </c>
      <c r="B36" s="673" t="s">
        <v>967</v>
      </c>
      <c r="C36">
        <v>0</v>
      </c>
      <c r="E36" s="672" t="s">
        <v>1145</v>
      </c>
      <c r="F36" s="674" t="s">
        <v>968</v>
      </c>
      <c r="H36">
        <v>999.99900000000002</v>
      </c>
      <c r="J36" s="1" t="s">
        <v>773</v>
      </c>
      <c r="K36">
        <v>107000890</v>
      </c>
      <c r="L36" s="2">
        <v>44740</v>
      </c>
      <c r="M36">
        <v>30</v>
      </c>
      <c r="N36">
        <v>1</v>
      </c>
      <c r="O36">
        <v>7</v>
      </c>
      <c r="P36">
        <v>1</v>
      </c>
      <c r="Q36" t="s">
        <v>3</v>
      </c>
      <c r="W36" s="672" t="s">
        <v>1325</v>
      </c>
      <c r="X36" t="s">
        <v>1326</v>
      </c>
      <c r="AA36" t="s">
        <v>724</v>
      </c>
      <c r="AB36" t="s">
        <v>1327</v>
      </c>
    </row>
    <row r="37" spans="1:28">
      <c r="A37" t="s">
        <v>1021</v>
      </c>
      <c r="B37" s="672" t="s">
        <v>965</v>
      </c>
      <c r="C37">
        <v>2.4E-2</v>
      </c>
      <c r="D37" t="s">
        <v>758</v>
      </c>
      <c r="E37" s="673" t="s">
        <v>967</v>
      </c>
      <c r="F37" s="674" t="s">
        <v>968</v>
      </c>
      <c r="G37" s="672" t="s">
        <v>961</v>
      </c>
      <c r="H37">
        <v>0.187</v>
      </c>
      <c r="J37" s="1" t="s">
        <v>769</v>
      </c>
      <c r="K37">
        <v>107495942</v>
      </c>
      <c r="L37" s="2">
        <v>45217</v>
      </c>
      <c r="M37">
        <v>30</v>
      </c>
      <c r="N37">
        <v>1</v>
      </c>
      <c r="O37">
        <v>7</v>
      </c>
      <c r="P37">
        <v>1</v>
      </c>
      <c r="Q37" t="s">
        <v>7</v>
      </c>
      <c r="X37" t="s">
        <v>1236</v>
      </c>
      <c r="Y37" t="s">
        <v>1237</v>
      </c>
      <c r="Z37" t="s">
        <v>1238</v>
      </c>
      <c r="AA37" t="s">
        <v>724</v>
      </c>
    </row>
    <row r="38" spans="1:28">
      <c r="A38" t="s">
        <v>1021</v>
      </c>
      <c r="B38" s="673" t="s">
        <v>967</v>
      </c>
      <c r="C38">
        <v>1.4E-2</v>
      </c>
      <c r="D38" t="s">
        <v>757</v>
      </c>
      <c r="E38" s="672" t="s">
        <v>965</v>
      </c>
      <c r="F38" t="s">
        <v>1191</v>
      </c>
      <c r="G38" s="673" t="s">
        <v>960</v>
      </c>
      <c r="H38">
        <v>1.4750000000000001</v>
      </c>
      <c r="J38" s="1" t="s">
        <v>769</v>
      </c>
      <c r="K38">
        <v>108264224</v>
      </c>
      <c r="L38" s="2">
        <v>45942</v>
      </c>
      <c r="M38">
        <v>27</v>
      </c>
      <c r="N38">
        <v>2</v>
      </c>
      <c r="O38">
        <v>12</v>
      </c>
      <c r="P38">
        <v>1</v>
      </c>
      <c r="Q38" t="s">
        <v>3</v>
      </c>
      <c r="U38" s="603"/>
      <c r="X38" t="s">
        <v>1319</v>
      </c>
      <c r="Y38" t="s">
        <v>1318</v>
      </c>
      <c r="Z38" t="s">
        <v>1320</v>
      </c>
      <c r="AA38" t="s">
        <v>721</v>
      </c>
    </row>
    <row r="39" spans="1:28">
      <c r="A39" t="s">
        <v>1021</v>
      </c>
      <c r="B39" s="672" t="s">
        <v>965</v>
      </c>
      <c r="C39">
        <v>8.9999999999999993E-3</v>
      </c>
      <c r="D39" t="s">
        <v>758</v>
      </c>
      <c r="E39" s="673" t="s">
        <v>963</v>
      </c>
      <c r="F39" s="674" t="s">
        <v>968</v>
      </c>
      <c r="G39" s="672" t="s">
        <v>961</v>
      </c>
      <c r="H39">
        <v>0.20200000000000001</v>
      </c>
      <c r="J39" s="1" t="s">
        <v>769</v>
      </c>
      <c r="K39">
        <v>106812334</v>
      </c>
      <c r="L39" s="2">
        <v>44553</v>
      </c>
      <c r="M39">
        <v>24</v>
      </c>
      <c r="N39">
        <v>1</v>
      </c>
      <c r="O39">
        <v>0</v>
      </c>
      <c r="P39">
        <v>1</v>
      </c>
      <c r="Q39" t="s">
        <v>7</v>
      </c>
      <c r="X39" t="s">
        <v>1245</v>
      </c>
      <c r="Y39" t="s">
        <v>1240</v>
      </c>
      <c r="Z39" t="s">
        <v>774</v>
      </c>
      <c r="AA39" t="s">
        <v>723</v>
      </c>
    </row>
    <row r="40" spans="1:28">
      <c r="A40" t="s">
        <v>1021</v>
      </c>
      <c r="B40" s="673" t="s">
        <v>967</v>
      </c>
      <c r="C40">
        <v>0</v>
      </c>
      <c r="E40" s="672" t="s">
        <v>965</v>
      </c>
      <c r="G40" s="673" t="s">
        <v>960</v>
      </c>
      <c r="H40">
        <v>1.4890000000000001</v>
      </c>
      <c r="J40" s="1" t="s">
        <v>769</v>
      </c>
      <c r="K40">
        <v>107802051</v>
      </c>
      <c r="L40" s="2">
        <v>45504</v>
      </c>
      <c r="M40">
        <v>24</v>
      </c>
      <c r="N40">
        <v>1</v>
      </c>
      <c r="O40">
        <v>7</v>
      </c>
      <c r="P40">
        <v>1</v>
      </c>
      <c r="Q40" t="s">
        <v>7</v>
      </c>
      <c r="X40" t="s">
        <v>1245</v>
      </c>
      <c r="Y40" t="s">
        <v>774</v>
      </c>
      <c r="Z40" t="s">
        <v>1240</v>
      </c>
      <c r="AA40" t="s">
        <v>723</v>
      </c>
    </row>
    <row r="41" spans="1:28">
      <c r="A41" t="s">
        <v>1021</v>
      </c>
      <c r="B41" s="672" t="s">
        <v>965</v>
      </c>
      <c r="C41">
        <v>0</v>
      </c>
      <c r="E41" s="673" t="s">
        <v>967</v>
      </c>
      <c r="F41" s="675" t="s">
        <v>1023</v>
      </c>
      <c r="G41" s="672" t="s">
        <v>961</v>
      </c>
      <c r="H41">
        <v>0.21099999999999999</v>
      </c>
      <c r="J41" s="1" t="s">
        <v>769</v>
      </c>
      <c r="K41">
        <v>107535374</v>
      </c>
      <c r="L41" s="2">
        <v>45251</v>
      </c>
      <c r="M41">
        <v>24</v>
      </c>
      <c r="N41">
        <v>2</v>
      </c>
      <c r="O41">
        <v>7</v>
      </c>
      <c r="P41">
        <v>1</v>
      </c>
      <c r="Q41" t="s">
        <v>7</v>
      </c>
      <c r="U41" s="603"/>
      <c r="X41" t="s">
        <v>1216</v>
      </c>
      <c r="Y41" t="s">
        <v>772</v>
      </c>
      <c r="Z41" t="s">
        <v>774</v>
      </c>
      <c r="AA41" t="s">
        <v>722</v>
      </c>
    </row>
    <row r="42" spans="1:28">
      <c r="A42" t="s">
        <v>1021</v>
      </c>
      <c r="B42" s="672" t="s">
        <v>965</v>
      </c>
      <c r="C42">
        <v>0</v>
      </c>
      <c r="E42" s="673" t="s">
        <v>967</v>
      </c>
      <c r="F42" s="673" t="s">
        <v>963</v>
      </c>
      <c r="G42" s="672" t="s">
        <v>961</v>
      </c>
      <c r="H42">
        <v>0.21099999999999999</v>
      </c>
      <c r="J42" s="609" t="s">
        <v>769</v>
      </c>
      <c r="K42">
        <v>107555301</v>
      </c>
      <c r="L42" s="2">
        <v>45268</v>
      </c>
      <c r="M42">
        <v>24</v>
      </c>
      <c r="N42">
        <v>1</v>
      </c>
      <c r="O42">
        <v>7</v>
      </c>
      <c r="P42">
        <v>1</v>
      </c>
      <c r="Q42" t="s">
        <v>7</v>
      </c>
      <c r="U42" s="603"/>
      <c r="X42" t="s">
        <v>1213</v>
      </c>
      <c r="Y42" t="s">
        <v>1238</v>
      </c>
      <c r="Z42" t="s">
        <v>772</v>
      </c>
      <c r="AA42" t="s">
        <v>722</v>
      </c>
    </row>
    <row r="43" spans="1:28">
      <c r="A43" t="s">
        <v>1021</v>
      </c>
      <c r="B43" s="672" t="s">
        <v>965</v>
      </c>
      <c r="C43">
        <v>0</v>
      </c>
      <c r="E43" s="673" t="s">
        <v>967</v>
      </c>
      <c r="G43" s="672" t="s">
        <v>961</v>
      </c>
      <c r="H43">
        <v>0.21099999999999999</v>
      </c>
      <c r="J43" s="1" t="s">
        <v>769</v>
      </c>
      <c r="K43">
        <v>107203016</v>
      </c>
      <c r="L43" s="2">
        <v>44931</v>
      </c>
      <c r="M43">
        <v>30</v>
      </c>
      <c r="N43">
        <v>1</v>
      </c>
      <c r="O43">
        <v>7</v>
      </c>
      <c r="P43">
        <v>4</v>
      </c>
      <c r="Q43" t="s">
        <v>3</v>
      </c>
      <c r="U43" s="603"/>
      <c r="X43" t="s">
        <v>1264</v>
      </c>
      <c r="Y43" t="s">
        <v>1240</v>
      </c>
      <c r="Z43" t="s">
        <v>1238</v>
      </c>
      <c r="AA43" t="s">
        <v>723</v>
      </c>
      <c r="AB43" t="s">
        <v>1265</v>
      </c>
    </row>
    <row r="44" spans="1:28">
      <c r="A44" t="s">
        <v>1021</v>
      </c>
      <c r="B44" s="672" t="s">
        <v>965</v>
      </c>
      <c r="C44">
        <v>0</v>
      </c>
      <c r="D44" t="s">
        <v>758</v>
      </c>
      <c r="E44" s="673" t="s">
        <v>967</v>
      </c>
      <c r="F44" s="674" t="s">
        <v>968</v>
      </c>
      <c r="G44" s="672" t="s">
        <v>961</v>
      </c>
      <c r="H44">
        <v>0.21099999999999999</v>
      </c>
      <c r="J44" s="666" t="s">
        <v>769</v>
      </c>
      <c r="K44">
        <v>106802462</v>
      </c>
      <c r="L44" s="2">
        <v>44544</v>
      </c>
      <c r="M44">
        <v>23</v>
      </c>
      <c r="N44">
        <v>1</v>
      </c>
      <c r="O44">
        <v>4</v>
      </c>
      <c r="P44">
        <v>1</v>
      </c>
      <c r="Q44" t="s">
        <v>7</v>
      </c>
      <c r="X44" t="s">
        <v>1256</v>
      </c>
      <c r="Y44" t="s">
        <v>1257</v>
      </c>
      <c r="Z44" t="s">
        <v>1238</v>
      </c>
      <c r="AA44" t="s">
        <v>721</v>
      </c>
    </row>
    <row r="45" spans="1:28">
      <c r="A45" t="s">
        <v>1021</v>
      </c>
      <c r="B45" s="672" t="s">
        <v>965</v>
      </c>
      <c r="C45">
        <v>0</v>
      </c>
      <c r="D45" t="s">
        <v>758</v>
      </c>
      <c r="E45" s="673" t="s">
        <v>967</v>
      </c>
      <c r="F45" s="674" t="s">
        <v>968</v>
      </c>
      <c r="G45" s="672" t="s">
        <v>961</v>
      </c>
      <c r="H45">
        <v>0.21099999999999999</v>
      </c>
      <c r="J45" s="1" t="s">
        <v>769</v>
      </c>
      <c r="K45">
        <v>108048149</v>
      </c>
      <c r="L45" s="2">
        <v>45729</v>
      </c>
      <c r="M45">
        <v>23</v>
      </c>
      <c r="N45">
        <v>1</v>
      </c>
      <c r="O45">
        <v>8</v>
      </c>
      <c r="P45">
        <v>1</v>
      </c>
      <c r="Q45" t="s">
        <v>7</v>
      </c>
      <c r="X45" t="s">
        <v>1256</v>
      </c>
      <c r="Y45" t="s">
        <v>1257</v>
      </c>
      <c r="Z45" t="s">
        <v>1238</v>
      </c>
      <c r="AA45" t="s">
        <v>721</v>
      </c>
    </row>
    <row r="46" spans="1:28">
      <c r="A46" t="s">
        <v>1021</v>
      </c>
      <c r="B46" s="672" t="s">
        <v>965</v>
      </c>
      <c r="C46">
        <v>0</v>
      </c>
      <c r="E46" s="673" t="s">
        <v>967</v>
      </c>
      <c r="F46" s="674" t="s">
        <v>968</v>
      </c>
      <c r="G46" s="672" t="s">
        <v>961</v>
      </c>
      <c r="H46">
        <v>0.21099999999999999</v>
      </c>
      <c r="J46" s="1" t="s">
        <v>769</v>
      </c>
      <c r="K46">
        <v>107526751</v>
      </c>
      <c r="L46" s="2">
        <v>45244</v>
      </c>
      <c r="M46">
        <v>23</v>
      </c>
      <c r="N46">
        <v>1</v>
      </c>
      <c r="O46">
        <v>0</v>
      </c>
      <c r="P46">
        <v>1</v>
      </c>
      <c r="Q46" t="s">
        <v>3</v>
      </c>
      <c r="U46" s="603"/>
      <c r="X46" t="s">
        <v>1258</v>
      </c>
      <c r="Y46" t="s">
        <v>772</v>
      </c>
      <c r="Z46" t="s">
        <v>774</v>
      </c>
      <c r="AA46" t="s">
        <v>722</v>
      </c>
    </row>
    <row r="47" spans="1:28">
      <c r="A47" t="s">
        <v>1021</v>
      </c>
      <c r="B47" s="672" t="s">
        <v>965</v>
      </c>
      <c r="C47">
        <v>0</v>
      </c>
      <c r="E47" s="673" t="s">
        <v>963</v>
      </c>
      <c r="F47" s="675" t="s">
        <v>1023</v>
      </c>
      <c r="G47" s="672" t="s">
        <v>961</v>
      </c>
      <c r="H47">
        <v>0.21099999999999999</v>
      </c>
      <c r="J47" s="1" t="s">
        <v>769</v>
      </c>
      <c r="K47">
        <v>107051745</v>
      </c>
      <c r="L47" s="2">
        <v>44793</v>
      </c>
      <c r="M47">
        <v>23</v>
      </c>
      <c r="N47">
        <v>1</v>
      </c>
      <c r="O47">
        <v>7</v>
      </c>
      <c r="P47">
        <v>1</v>
      </c>
      <c r="Q47" t="s">
        <v>3</v>
      </c>
      <c r="X47" t="s">
        <v>1248</v>
      </c>
      <c r="Y47" t="s">
        <v>780</v>
      </c>
      <c r="Z47" t="s">
        <v>1238</v>
      </c>
      <c r="AA47" t="s">
        <v>724</v>
      </c>
    </row>
    <row r="48" spans="1:28">
      <c r="A48" t="s">
        <v>1021</v>
      </c>
      <c r="B48" s="672" t="s">
        <v>965</v>
      </c>
      <c r="C48">
        <v>0</v>
      </c>
      <c r="E48" s="673" t="s">
        <v>963</v>
      </c>
      <c r="G48" s="672" t="s">
        <v>961</v>
      </c>
      <c r="H48">
        <v>0.21099999999999999</v>
      </c>
      <c r="J48" s="1" t="s">
        <v>769</v>
      </c>
      <c r="K48">
        <v>107667864</v>
      </c>
      <c r="L48" s="2">
        <v>45377</v>
      </c>
      <c r="M48">
        <v>21</v>
      </c>
      <c r="N48">
        <v>1</v>
      </c>
      <c r="O48">
        <v>7</v>
      </c>
      <c r="P48">
        <v>1</v>
      </c>
      <c r="Q48" t="s">
        <v>7</v>
      </c>
      <c r="X48" t="s">
        <v>1243</v>
      </c>
      <c r="Y48" t="s">
        <v>774</v>
      </c>
      <c r="Z48" t="s">
        <v>1244</v>
      </c>
      <c r="AA48" t="s">
        <v>723</v>
      </c>
    </row>
    <row r="49" spans="1:28">
      <c r="A49" t="s">
        <v>1021</v>
      </c>
      <c r="B49" s="672" t="s">
        <v>965</v>
      </c>
      <c r="C49">
        <v>8.9999999999999993E-3</v>
      </c>
      <c r="D49" t="s">
        <v>758</v>
      </c>
      <c r="E49" s="673" t="s">
        <v>963</v>
      </c>
      <c r="F49" s="674" t="s">
        <v>968</v>
      </c>
      <c r="G49" s="672" t="s">
        <v>961</v>
      </c>
      <c r="H49">
        <v>0.20200000000000001</v>
      </c>
      <c r="J49" s="1" t="s">
        <v>769</v>
      </c>
      <c r="K49">
        <v>107713399</v>
      </c>
      <c r="L49" s="2">
        <v>45399</v>
      </c>
      <c r="M49">
        <v>21</v>
      </c>
      <c r="N49">
        <v>1</v>
      </c>
      <c r="O49">
        <v>12</v>
      </c>
      <c r="P49">
        <v>1</v>
      </c>
      <c r="Q49" t="s">
        <v>7</v>
      </c>
      <c r="X49" t="s">
        <v>1243</v>
      </c>
      <c r="Y49" t="s">
        <v>774</v>
      </c>
      <c r="Z49" t="s">
        <v>1244</v>
      </c>
      <c r="AA49" t="s">
        <v>723</v>
      </c>
    </row>
    <row r="50" spans="1:28">
      <c r="A50" t="s">
        <v>1021</v>
      </c>
      <c r="B50" s="673" t="s">
        <v>967</v>
      </c>
      <c r="C50">
        <v>0</v>
      </c>
      <c r="E50" s="672" t="s">
        <v>965</v>
      </c>
      <c r="F50" s="674" t="s">
        <v>968</v>
      </c>
      <c r="G50" s="673" t="s">
        <v>960</v>
      </c>
      <c r="H50">
        <v>1.4890000000000001</v>
      </c>
      <c r="J50" s="1" t="s">
        <v>769</v>
      </c>
      <c r="K50">
        <v>107529695</v>
      </c>
      <c r="L50" s="2">
        <v>45197</v>
      </c>
      <c r="M50">
        <v>21</v>
      </c>
      <c r="N50">
        <v>1</v>
      </c>
      <c r="O50">
        <v>7</v>
      </c>
      <c r="P50">
        <v>1</v>
      </c>
      <c r="Q50" t="s">
        <v>7</v>
      </c>
      <c r="U50" s="603"/>
      <c r="X50" t="s">
        <v>1291</v>
      </c>
      <c r="Y50" t="s">
        <v>1263</v>
      </c>
      <c r="Z50" t="s">
        <v>1263</v>
      </c>
      <c r="AA50" t="s">
        <v>722</v>
      </c>
    </row>
    <row r="51" spans="1:28">
      <c r="A51" t="s">
        <v>1021</v>
      </c>
      <c r="B51" s="673" t="s">
        <v>967</v>
      </c>
      <c r="C51">
        <v>1E-3</v>
      </c>
      <c r="D51" t="s">
        <v>757</v>
      </c>
      <c r="E51" s="672" t="s">
        <v>965</v>
      </c>
      <c r="F51" s="675" t="s">
        <v>1018</v>
      </c>
      <c r="G51" s="673" t="s">
        <v>960</v>
      </c>
      <c r="H51">
        <v>1.488</v>
      </c>
      <c r="J51" s="1" t="s">
        <v>769</v>
      </c>
      <c r="K51">
        <v>107986965</v>
      </c>
      <c r="L51" s="2">
        <v>45664</v>
      </c>
      <c r="M51">
        <v>21</v>
      </c>
      <c r="N51">
        <v>1</v>
      </c>
      <c r="O51">
        <v>7</v>
      </c>
      <c r="P51">
        <v>4</v>
      </c>
      <c r="Q51" t="s">
        <v>7</v>
      </c>
      <c r="X51" t="s">
        <v>1291</v>
      </c>
      <c r="Y51" t="s">
        <v>771</v>
      </c>
      <c r="Z51" t="s">
        <v>1320</v>
      </c>
      <c r="AA51" t="s">
        <v>722</v>
      </c>
    </row>
    <row r="52" spans="1:28">
      <c r="A52" t="s">
        <v>1021</v>
      </c>
      <c r="B52" s="673" t="s">
        <v>967</v>
      </c>
      <c r="C52">
        <v>2E-3</v>
      </c>
      <c r="D52" t="s">
        <v>757</v>
      </c>
      <c r="E52" s="672" t="s">
        <v>965</v>
      </c>
      <c r="F52" s="673" t="s">
        <v>963</v>
      </c>
      <c r="G52" s="673" t="s">
        <v>960</v>
      </c>
      <c r="H52">
        <v>1.4870000000000001</v>
      </c>
      <c r="J52" s="1" t="s">
        <v>769</v>
      </c>
      <c r="K52">
        <v>108071192</v>
      </c>
      <c r="L52" s="2">
        <v>45754</v>
      </c>
      <c r="M52">
        <v>21</v>
      </c>
      <c r="N52">
        <v>2</v>
      </c>
      <c r="O52">
        <v>7</v>
      </c>
      <c r="P52">
        <v>1</v>
      </c>
      <c r="Q52" t="s">
        <v>7</v>
      </c>
      <c r="X52" t="s">
        <v>1291</v>
      </c>
      <c r="Y52" t="s">
        <v>771</v>
      </c>
      <c r="Z52" t="s">
        <v>1320</v>
      </c>
      <c r="AA52" t="s">
        <v>722</v>
      </c>
    </row>
    <row r="53" spans="1:28">
      <c r="A53" t="s">
        <v>1021</v>
      </c>
      <c r="B53" s="672" t="s">
        <v>965</v>
      </c>
      <c r="C53">
        <v>0.01</v>
      </c>
      <c r="D53" t="s">
        <v>756</v>
      </c>
      <c r="E53" s="673" t="s">
        <v>967</v>
      </c>
      <c r="F53" s="674" t="s">
        <v>968</v>
      </c>
      <c r="G53" s="672" t="s">
        <v>961</v>
      </c>
      <c r="H53">
        <v>0.221</v>
      </c>
      <c r="J53" s="1" t="s">
        <v>769</v>
      </c>
      <c r="K53">
        <v>107004020</v>
      </c>
      <c r="L53" s="2">
        <v>44742</v>
      </c>
      <c r="M53">
        <v>21</v>
      </c>
      <c r="N53">
        <v>1</v>
      </c>
      <c r="O53">
        <v>0</v>
      </c>
      <c r="P53">
        <v>1</v>
      </c>
      <c r="Q53" t="s">
        <v>7</v>
      </c>
      <c r="X53" t="s">
        <v>1219</v>
      </c>
      <c r="Y53" t="s">
        <v>1241</v>
      </c>
      <c r="Z53" t="s">
        <v>1241</v>
      </c>
      <c r="AA53" t="s">
        <v>724</v>
      </c>
    </row>
    <row r="54" spans="1:28">
      <c r="A54" t="s">
        <v>1021</v>
      </c>
      <c r="B54" s="672" t="s">
        <v>965</v>
      </c>
      <c r="C54">
        <v>3.7999999999999999E-2</v>
      </c>
      <c r="D54" t="s">
        <v>758</v>
      </c>
      <c r="E54" s="675" t="s">
        <v>1020</v>
      </c>
      <c r="F54" s="673" t="s">
        <v>967</v>
      </c>
      <c r="G54" s="672" t="s">
        <v>961</v>
      </c>
      <c r="H54">
        <v>0.30199999999999999</v>
      </c>
      <c r="J54" s="1" t="s">
        <v>773</v>
      </c>
      <c r="K54">
        <v>107249218</v>
      </c>
      <c r="L54" s="2">
        <v>44977</v>
      </c>
      <c r="M54">
        <v>21</v>
      </c>
      <c r="N54">
        <v>1</v>
      </c>
      <c r="O54">
        <v>7</v>
      </c>
      <c r="P54">
        <v>1</v>
      </c>
      <c r="Q54" t="s">
        <v>7</v>
      </c>
      <c r="W54" s="672" t="s">
        <v>1308</v>
      </c>
      <c r="X54" t="s">
        <v>1219</v>
      </c>
      <c r="AA54" t="s">
        <v>724</v>
      </c>
      <c r="AB54" t="s">
        <v>1309</v>
      </c>
    </row>
    <row r="55" spans="1:28">
      <c r="A55" t="s">
        <v>1021</v>
      </c>
      <c r="B55" s="672" t="s">
        <v>965</v>
      </c>
      <c r="C55">
        <v>0</v>
      </c>
      <c r="D55" t="s">
        <v>756</v>
      </c>
      <c r="E55" s="673" t="s">
        <v>967</v>
      </c>
      <c r="F55" s="673" t="s">
        <v>963</v>
      </c>
      <c r="G55" s="672" t="s">
        <v>961</v>
      </c>
      <c r="H55">
        <v>0.21099999999999999</v>
      </c>
      <c r="J55" s="1" t="s">
        <v>769</v>
      </c>
      <c r="K55">
        <v>107447464</v>
      </c>
      <c r="L55" s="2">
        <v>45174</v>
      </c>
      <c r="M55">
        <v>21</v>
      </c>
      <c r="N55">
        <v>1</v>
      </c>
      <c r="O55">
        <v>7</v>
      </c>
      <c r="P55">
        <v>1</v>
      </c>
      <c r="Q55" t="s">
        <v>7</v>
      </c>
      <c r="X55" t="s">
        <v>1219</v>
      </c>
      <c r="Y55" t="s">
        <v>1238</v>
      </c>
      <c r="Z55" t="s">
        <v>1241</v>
      </c>
      <c r="AA55" t="s">
        <v>724</v>
      </c>
    </row>
    <row r="56" spans="1:28">
      <c r="A56" t="s">
        <v>1021</v>
      </c>
      <c r="B56" s="672" t="s">
        <v>965</v>
      </c>
      <c r="C56">
        <v>0</v>
      </c>
      <c r="D56" t="s">
        <v>758</v>
      </c>
      <c r="E56" s="673" t="s">
        <v>967</v>
      </c>
      <c r="F56" s="674" t="s">
        <v>968</v>
      </c>
      <c r="G56" s="672" t="s">
        <v>961</v>
      </c>
      <c r="H56">
        <v>0.21099999999999999</v>
      </c>
      <c r="J56" s="1" t="s">
        <v>769</v>
      </c>
      <c r="K56">
        <v>107468744</v>
      </c>
      <c r="L56" s="2">
        <v>45194</v>
      </c>
      <c r="M56">
        <v>21</v>
      </c>
      <c r="N56">
        <v>1</v>
      </c>
      <c r="O56">
        <v>7</v>
      </c>
      <c r="P56">
        <v>1</v>
      </c>
      <c r="Q56" t="s">
        <v>7</v>
      </c>
      <c r="X56" t="s">
        <v>1219</v>
      </c>
      <c r="Y56" t="s">
        <v>1241</v>
      </c>
      <c r="Z56" t="s">
        <v>1238</v>
      </c>
      <c r="AA56" t="s">
        <v>724</v>
      </c>
    </row>
    <row r="57" spans="1:28">
      <c r="A57" t="s">
        <v>1021</v>
      </c>
      <c r="B57" s="672" t="s">
        <v>965</v>
      </c>
      <c r="C57">
        <v>1.2E-2</v>
      </c>
      <c r="D57" t="s">
        <v>764</v>
      </c>
      <c r="E57" s="673" t="s">
        <v>967</v>
      </c>
      <c r="F57" s="675" t="s">
        <v>1020</v>
      </c>
      <c r="G57" s="672" t="s">
        <v>961</v>
      </c>
      <c r="H57">
        <v>0.19900000000000001</v>
      </c>
      <c r="J57" s="1" t="s">
        <v>769</v>
      </c>
      <c r="K57">
        <v>108527871</v>
      </c>
      <c r="L57" s="2">
        <v>46185</v>
      </c>
      <c r="M57">
        <v>2</v>
      </c>
      <c r="N57">
        <v>1</v>
      </c>
      <c r="O57">
        <v>7</v>
      </c>
      <c r="P57">
        <v>1</v>
      </c>
      <c r="Q57" t="s">
        <v>8</v>
      </c>
      <c r="X57" t="s">
        <v>1239</v>
      </c>
      <c r="Y57" t="s">
        <v>1240</v>
      </c>
      <c r="AA57" t="s">
        <v>723</v>
      </c>
    </row>
    <row r="58" spans="1:28">
      <c r="A58" t="s">
        <v>1021</v>
      </c>
      <c r="B58" s="672" t="s">
        <v>965</v>
      </c>
      <c r="C58">
        <v>0</v>
      </c>
      <c r="E58" s="673" t="s">
        <v>967</v>
      </c>
      <c r="F58" s="674" t="s">
        <v>968</v>
      </c>
      <c r="G58" s="672" t="s">
        <v>961</v>
      </c>
      <c r="H58">
        <v>0.21099999999999999</v>
      </c>
      <c r="J58" s="1" t="s">
        <v>769</v>
      </c>
      <c r="K58">
        <v>107416680</v>
      </c>
      <c r="L58" s="2">
        <v>45141</v>
      </c>
      <c r="M58">
        <v>25</v>
      </c>
      <c r="N58">
        <v>1</v>
      </c>
      <c r="O58">
        <v>7</v>
      </c>
      <c r="P58">
        <v>1</v>
      </c>
      <c r="Q58" t="s">
        <v>8</v>
      </c>
      <c r="X58" t="s">
        <v>1260</v>
      </c>
      <c r="Y58" t="s">
        <v>1257</v>
      </c>
      <c r="Z58" t="s">
        <v>1238</v>
      </c>
      <c r="AA58" t="s">
        <v>721</v>
      </c>
    </row>
    <row r="59" spans="1:28">
      <c r="A59" t="s">
        <v>1021</v>
      </c>
      <c r="B59" s="672" t="s">
        <v>965</v>
      </c>
      <c r="C59">
        <v>0</v>
      </c>
      <c r="E59" s="673" t="s">
        <v>967</v>
      </c>
      <c r="F59" s="675" t="s">
        <v>1141</v>
      </c>
      <c r="G59" s="672" t="s">
        <v>961</v>
      </c>
      <c r="H59">
        <v>0.21099999999999999</v>
      </c>
      <c r="J59" s="1" t="s">
        <v>769</v>
      </c>
      <c r="K59">
        <v>106915544</v>
      </c>
      <c r="L59" s="2">
        <v>44660</v>
      </c>
      <c r="M59">
        <v>28</v>
      </c>
      <c r="N59">
        <v>1</v>
      </c>
      <c r="O59">
        <v>7</v>
      </c>
      <c r="P59">
        <v>1</v>
      </c>
      <c r="Q59" t="s">
        <v>7</v>
      </c>
      <c r="X59" t="s">
        <v>1226</v>
      </c>
      <c r="Y59" t="s">
        <v>1253</v>
      </c>
      <c r="Z59" t="s">
        <v>1244</v>
      </c>
      <c r="AA59" t="s">
        <v>723</v>
      </c>
    </row>
    <row r="60" spans="1:28">
      <c r="A60" t="s">
        <v>1021</v>
      </c>
      <c r="B60" s="672" t="s">
        <v>965</v>
      </c>
      <c r="C60">
        <v>0</v>
      </c>
      <c r="E60" s="673" t="s">
        <v>967</v>
      </c>
      <c r="F60" s="674" t="s">
        <v>968</v>
      </c>
      <c r="G60" s="672" t="s">
        <v>961</v>
      </c>
      <c r="H60">
        <v>0.21099999999999999</v>
      </c>
      <c r="J60" s="1" t="s">
        <v>769</v>
      </c>
      <c r="K60">
        <v>107805343</v>
      </c>
      <c r="L60" s="2">
        <v>45506</v>
      </c>
      <c r="M60">
        <v>28</v>
      </c>
      <c r="N60">
        <v>1</v>
      </c>
      <c r="O60">
        <v>0</v>
      </c>
      <c r="P60">
        <v>1</v>
      </c>
      <c r="Q60" t="s">
        <v>7</v>
      </c>
      <c r="X60" t="s">
        <v>1226</v>
      </c>
      <c r="Y60" t="s">
        <v>1246</v>
      </c>
      <c r="Z60" t="s">
        <v>774</v>
      </c>
      <c r="AA60" t="s">
        <v>723</v>
      </c>
    </row>
    <row r="61" spans="1:28">
      <c r="A61" t="s">
        <v>1021</v>
      </c>
      <c r="B61" s="673" t="s">
        <v>967</v>
      </c>
      <c r="C61">
        <v>0.11</v>
      </c>
      <c r="D61" t="s">
        <v>6</v>
      </c>
      <c r="E61" t="s">
        <v>1161</v>
      </c>
      <c r="F61" s="672" t="s">
        <v>965</v>
      </c>
      <c r="H61">
        <v>999.99900000000002</v>
      </c>
      <c r="J61" s="1" t="s">
        <v>773</v>
      </c>
      <c r="K61">
        <v>107822418</v>
      </c>
      <c r="L61" s="2">
        <v>45523</v>
      </c>
      <c r="M61">
        <v>21</v>
      </c>
      <c r="N61">
        <v>1</v>
      </c>
      <c r="O61">
        <v>12</v>
      </c>
      <c r="P61">
        <v>1</v>
      </c>
      <c r="Q61" t="s">
        <v>7</v>
      </c>
      <c r="X61" t="s">
        <v>1291</v>
      </c>
      <c r="Y61" t="s">
        <v>771</v>
      </c>
      <c r="Z61" t="s">
        <v>771</v>
      </c>
    </row>
    <row r="62" spans="1:28">
      <c r="L62" s="2"/>
    </row>
    <row r="63" spans="1:28" s="607" customFormat="1">
      <c r="B63" s="607" t="s">
        <v>1338</v>
      </c>
      <c r="J63" s="668"/>
      <c r="L63" s="608"/>
    </row>
    <row r="64" spans="1:28">
      <c r="L64" s="2"/>
    </row>
    <row r="65" spans="1:28" s="607" customFormat="1">
      <c r="B65" s="607" t="s">
        <v>1339</v>
      </c>
      <c r="J65" s="668"/>
      <c r="L65" s="608"/>
    </row>
    <row r="66" spans="1:28">
      <c r="A66" t="s">
        <v>1021</v>
      </c>
      <c r="B66" s="672" t="s">
        <v>962</v>
      </c>
      <c r="C66">
        <v>8.4000000000000005E-2</v>
      </c>
      <c r="D66" t="s">
        <v>756</v>
      </c>
      <c r="E66" s="674" t="s">
        <v>968</v>
      </c>
      <c r="F66" s="673" t="s">
        <v>963</v>
      </c>
      <c r="G66" s="672" t="s">
        <v>962</v>
      </c>
      <c r="H66">
        <v>2.1920000000000002</v>
      </c>
      <c r="J66" s="1" t="s">
        <v>1208</v>
      </c>
      <c r="K66">
        <v>108153033</v>
      </c>
      <c r="L66" s="2">
        <v>45832</v>
      </c>
      <c r="M66">
        <v>17</v>
      </c>
      <c r="N66">
        <v>1</v>
      </c>
      <c r="O66">
        <v>0</v>
      </c>
      <c r="P66">
        <v>1</v>
      </c>
      <c r="Q66" t="s">
        <v>7</v>
      </c>
      <c r="R66">
        <v>35.177509999999998</v>
      </c>
      <c r="S66">
        <v>-79.428079999999994</v>
      </c>
      <c r="T66" t="s">
        <v>761</v>
      </c>
      <c r="U66" t="s">
        <v>367</v>
      </c>
      <c r="V66">
        <v>4.7600000000000003E-2</v>
      </c>
      <c r="W66" t="s">
        <v>1209</v>
      </c>
      <c r="X66" t="s">
        <v>1210</v>
      </c>
      <c r="AB66" t="s">
        <v>1211</v>
      </c>
    </row>
    <row r="67" spans="1:28">
      <c r="A67" t="s">
        <v>1021</v>
      </c>
      <c r="B67" s="672" t="s">
        <v>965</v>
      </c>
      <c r="C67">
        <v>4.7E-2</v>
      </c>
      <c r="D67" t="s">
        <v>756</v>
      </c>
      <c r="E67" s="674" t="s">
        <v>968</v>
      </c>
      <c r="F67" s="673" t="s">
        <v>963</v>
      </c>
      <c r="G67" s="672" t="s">
        <v>961</v>
      </c>
      <c r="H67">
        <v>4.7E-2</v>
      </c>
      <c r="J67" s="1" t="s">
        <v>1208</v>
      </c>
      <c r="K67">
        <v>108604623</v>
      </c>
      <c r="L67" s="2">
        <v>46263</v>
      </c>
      <c r="M67">
        <v>24</v>
      </c>
      <c r="N67">
        <v>1</v>
      </c>
      <c r="O67">
        <v>0</v>
      </c>
      <c r="P67">
        <v>1</v>
      </c>
      <c r="Q67" t="s">
        <v>3</v>
      </c>
      <c r="U67" s="603"/>
      <c r="W67" s="672" t="s">
        <v>1212</v>
      </c>
      <c r="X67" t="s">
        <v>1213</v>
      </c>
      <c r="AB67" t="s">
        <v>1214</v>
      </c>
    </row>
    <row r="68" spans="1:28">
      <c r="A68" t="s">
        <v>1021</v>
      </c>
      <c r="B68" s="672" t="s">
        <v>965</v>
      </c>
      <c r="C68">
        <v>0.09</v>
      </c>
      <c r="D68" t="s">
        <v>758</v>
      </c>
      <c r="E68" s="673" t="s">
        <v>967</v>
      </c>
      <c r="F68" s="674" t="s">
        <v>968</v>
      </c>
      <c r="G68" s="672" t="s">
        <v>961</v>
      </c>
      <c r="H68">
        <v>0.121</v>
      </c>
      <c r="J68" s="1" t="s">
        <v>1208</v>
      </c>
      <c r="K68">
        <v>106850905</v>
      </c>
      <c r="L68" s="2">
        <v>44595</v>
      </c>
      <c r="M68">
        <v>30</v>
      </c>
      <c r="N68">
        <v>1</v>
      </c>
      <c r="O68">
        <v>8</v>
      </c>
      <c r="P68">
        <v>1</v>
      </c>
      <c r="Q68" t="s">
        <v>7</v>
      </c>
      <c r="W68" s="672" t="s">
        <v>1215</v>
      </c>
      <c r="X68" t="s">
        <v>1216</v>
      </c>
      <c r="AB68" t="s">
        <v>1217</v>
      </c>
    </row>
    <row r="69" spans="1:28">
      <c r="A69" t="s">
        <v>1021</v>
      </c>
      <c r="B69" s="672" t="s">
        <v>965</v>
      </c>
      <c r="C69">
        <v>8.5000000000000006E-2</v>
      </c>
      <c r="D69" t="s">
        <v>758</v>
      </c>
      <c r="E69" s="673" t="s">
        <v>967</v>
      </c>
      <c r="F69" s="674" t="s">
        <v>968</v>
      </c>
      <c r="G69" s="672" t="s">
        <v>961</v>
      </c>
      <c r="H69">
        <v>0.126</v>
      </c>
      <c r="J69" s="1" t="s">
        <v>1208</v>
      </c>
      <c r="K69">
        <v>107108479</v>
      </c>
      <c r="L69" s="2">
        <v>44846</v>
      </c>
      <c r="M69">
        <v>21</v>
      </c>
      <c r="N69">
        <v>1</v>
      </c>
      <c r="O69">
        <v>0</v>
      </c>
      <c r="P69">
        <v>1</v>
      </c>
      <c r="Q69" t="s">
        <v>7</v>
      </c>
      <c r="W69" s="672" t="s">
        <v>1218</v>
      </c>
      <c r="X69" t="s">
        <v>1219</v>
      </c>
      <c r="AB69" t="s">
        <v>1220</v>
      </c>
    </row>
    <row r="70" spans="1:28">
      <c r="A70" t="s">
        <v>1021</v>
      </c>
      <c r="B70" s="672" t="s">
        <v>965</v>
      </c>
      <c r="C70">
        <v>7.5999999999999998E-2</v>
      </c>
      <c r="D70" t="s">
        <v>758</v>
      </c>
      <c r="E70" s="673" t="s">
        <v>963</v>
      </c>
      <c r="F70" s="674" t="s">
        <v>968</v>
      </c>
      <c r="G70" s="672" t="s">
        <v>961</v>
      </c>
      <c r="H70">
        <v>0.13500000000000001</v>
      </c>
      <c r="J70" s="1" t="s">
        <v>1208</v>
      </c>
      <c r="K70">
        <v>107574287</v>
      </c>
      <c r="L70" s="2">
        <v>45283</v>
      </c>
      <c r="M70">
        <v>21</v>
      </c>
      <c r="N70">
        <v>1</v>
      </c>
      <c r="O70">
        <v>0</v>
      </c>
      <c r="P70">
        <v>1</v>
      </c>
      <c r="Q70" t="s">
        <v>7</v>
      </c>
      <c r="W70" s="672" t="s">
        <v>1221</v>
      </c>
      <c r="X70" t="s">
        <v>1219</v>
      </c>
      <c r="AB70" t="s">
        <v>1222</v>
      </c>
    </row>
    <row r="71" spans="1:28">
      <c r="A71" t="s">
        <v>1021</v>
      </c>
      <c r="B71" s="672" t="s">
        <v>965</v>
      </c>
      <c r="C71">
        <v>7.5999999999999998E-2</v>
      </c>
      <c r="D71" t="s">
        <v>758</v>
      </c>
      <c r="E71" s="673" t="s">
        <v>967</v>
      </c>
      <c r="F71" s="674" t="s">
        <v>968</v>
      </c>
      <c r="G71" s="672" t="s">
        <v>961</v>
      </c>
      <c r="H71">
        <v>0.13500000000000001</v>
      </c>
      <c r="J71" s="1" t="s">
        <v>1208</v>
      </c>
      <c r="K71">
        <v>106802440</v>
      </c>
      <c r="L71" s="2">
        <v>44537</v>
      </c>
      <c r="M71">
        <v>30</v>
      </c>
      <c r="N71">
        <v>1</v>
      </c>
      <c r="O71">
        <v>0</v>
      </c>
      <c r="P71">
        <v>1</v>
      </c>
      <c r="Q71" t="s">
        <v>7</v>
      </c>
      <c r="U71" s="603"/>
      <c r="W71" s="672" t="s">
        <v>1223</v>
      </c>
      <c r="X71" t="s">
        <v>1219</v>
      </c>
      <c r="AB71" t="s">
        <v>1224</v>
      </c>
    </row>
    <row r="72" spans="1:28">
      <c r="A72" t="s">
        <v>1021</v>
      </c>
      <c r="B72" s="672" t="s">
        <v>965</v>
      </c>
      <c r="C72">
        <v>0.13800000000000001</v>
      </c>
      <c r="D72" t="s">
        <v>756</v>
      </c>
      <c r="E72" s="674" t="s">
        <v>968</v>
      </c>
      <c r="F72" s="673" t="s">
        <v>967</v>
      </c>
      <c r="G72" s="672" t="s">
        <v>961</v>
      </c>
      <c r="H72">
        <v>0.13800000000000001</v>
      </c>
      <c r="J72" s="1" t="s">
        <v>1208</v>
      </c>
      <c r="K72">
        <v>108421756</v>
      </c>
      <c r="L72" s="2">
        <v>46086</v>
      </c>
      <c r="M72">
        <v>28</v>
      </c>
      <c r="N72">
        <v>1</v>
      </c>
      <c r="O72">
        <v>0</v>
      </c>
      <c r="P72">
        <v>2</v>
      </c>
      <c r="Q72" t="s">
        <v>7</v>
      </c>
      <c r="W72" s="672" t="s">
        <v>1225</v>
      </c>
      <c r="X72" t="s">
        <v>1226</v>
      </c>
      <c r="AB72" t="s">
        <v>1227</v>
      </c>
    </row>
    <row r="73" spans="1:28">
      <c r="A73" t="s">
        <v>1021</v>
      </c>
      <c r="B73" s="672" t="s">
        <v>965</v>
      </c>
      <c r="C73">
        <v>5.1999999999999998E-2</v>
      </c>
      <c r="D73" t="s">
        <v>758</v>
      </c>
      <c r="E73" s="673" t="s">
        <v>963</v>
      </c>
      <c r="F73" s="674" t="s">
        <v>1080</v>
      </c>
      <c r="G73" s="672" t="s">
        <v>961</v>
      </c>
      <c r="H73">
        <v>0.159</v>
      </c>
      <c r="J73" s="1" t="s">
        <v>1208</v>
      </c>
      <c r="K73">
        <v>106502440</v>
      </c>
      <c r="L73" s="2">
        <v>44195</v>
      </c>
      <c r="M73">
        <v>2</v>
      </c>
      <c r="N73">
        <v>2</v>
      </c>
      <c r="O73">
        <v>0</v>
      </c>
      <c r="P73">
        <v>4</v>
      </c>
      <c r="Q73" t="s">
        <v>7</v>
      </c>
      <c r="W73" s="672" t="s">
        <v>1228</v>
      </c>
      <c r="X73" t="s">
        <v>1229</v>
      </c>
      <c r="AB73" t="s">
        <v>1230</v>
      </c>
    </row>
    <row r="74" spans="1:28">
      <c r="A74" t="s">
        <v>1021</v>
      </c>
      <c r="B74" s="672" t="s">
        <v>965</v>
      </c>
      <c r="C74">
        <v>0.05</v>
      </c>
      <c r="D74" t="s">
        <v>758</v>
      </c>
      <c r="E74" s="673" t="s">
        <v>967</v>
      </c>
      <c r="F74" s="674" t="s">
        <v>968</v>
      </c>
      <c r="G74" s="672" t="s">
        <v>961</v>
      </c>
      <c r="H74">
        <v>0.161</v>
      </c>
      <c r="J74" s="1" t="s">
        <v>1208</v>
      </c>
      <c r="K74">
        <v>107458368</v>
      </c>
      <c r="L74" s="2">
        <v>45180</v>
      </c>
      <c r="M74">
        <v>1</v>
      </c>
      <c r="N74">
        <v>1</v>
      </c>
      <c r="O74">
        <v>4</v>
      </c>
      <c r="P74">
        <v>1</v>
      </c>
      <c r="Q74" t="s">
        <v>9</v>
      </c>
      <c r="W74" s="672" t="s">
        <v>1231</v>
      </c>
      <c r="X74" t="s">
        <v>1232</v>
      </c>
      <c r="AB74" t="s">
        <v>1233</v>
      </c>
    </row>
    <row r="75" spans="1:28">
      <c r="A75" t="s">
        <v>1021</v>
      </c>
      <c r="B75" s="672" t="s">
        <v>965</v>
      </c>
      <c r="C75">
        <v>3.7999999999999999E-2</v>
      </c>
      <c r="D75" t="s">
        <v>758</v>
      </c>
      <c r="E75" s="673" t="s">
        <v>967</v>
      </c>
      <c r="F75" s="674" t="s">
        <v>968</v>
      </c>
      <c r="G75" s="672" t="s">
        <v>961</v>
      </c>
      <c r="H75">
        <v>0.17299999999999999</v>
      </c>
      <c r="J75" s="1" t="s">
        <v>1208</v>
      </c>
      <c r="K75">
        <v>107440089</v>
      </c>
      <c r="L75" s="2">
        <v>45166</v>
      </c>
      <c r="M75">
        <v>28</v>
      </c>
      <c r="N75">
        <v>1</v>
      </c>
      <c r="O75">
        <v>0</v>
      </c>
      <c r="P75">
        <v>1</v>
      </c>
      <c r="Q75" t="s">
        <v>7</v>
      </c>
      <c r="U75" s="603"/>
      <c r="W75" s="672" t="s">
        <v>1234</v>
      </c>
      <c r="X75" t="s">
        <v>1226</v>
      </c>
      <c r="AB75" s="669" t="s">
        <v>1235</v>
      </c>
    </row>
    <row r="76" spans="1:28">
      <c r="A76" t="s">
        <v>1021</v>
      </c>
      <c r="B76" s="672" t="s">
        <v>965</v>
      </c>
      <c r="C76">
        <v>0</v>
      </c>
      <c r="E76" t="s">
        <v>1022</v>
      </c>
      <c r="F76" s="673" t="s">
        <v>963</v>
      </c>
      <c r="G76" s="672" t="s">
        <v>961</v>
      </c>
      <c r="H76">
        <v>0.21099999999999999</v>
      </c>
      <c r="J76" s="1" t="s">
        <v>1208</v>
      </c>
      <c r="K76">
        <v>104981930</v>
      </c>
      <c r="L76" s="2">
        <v>42713</v>
      </c>
      <c r="M76">
        <v>30</v>
      </c>
      <c r="N76">
        <v>1</v>
      </c>
      <c r="O76">
        <v>8</v>
      </c>
      <c r="P76">
        <v>1</v>
      </c>
      <c r="Q76" t="s">
        <v>7</v>
      </c>
      <c r="W76" s="672" t="s">
        <v>1266</v>
      </c>
      <c r="X76" t="s">
        <v>1267</v>
      </c>
      <c r="AB76" t="s">
        <v>1268</v>
      </c>
    </row>
    <row r="77" spans="1:28">
      <c r="A77" t="s">
        <v>1021</v>
      </c>
      <c r="B77" s="672" t="s">
        <v>965</v>
      </c>
      <c r="C77">
        <v>0</v>
      </c>
      <c r="E77" t="s">
        <v>1022</v>
      </c>
      <c r="F77" s="675" t="s">
        <v>1023</v>
      </c>
      <c r="G77" s="672" t="s">
        <v>961</v>
      </c>
      <c r="H77">
        <v>0.21099999999999999</v>
      </c>
      <c r="J77" s="1" t="s">
        <v>1208</v>
      </c>
      <c r="K77">
        <v>107838267</v>
      </c>
      <c r="L77" s="2">
        <v>45538</v>
      </c>
      <c r="M77">
        <v>24</v>
      </c>
      <c r="N77">
        <v>1</v>
      </c>
      <c r="O77">
        <v>8</v>
      </c>
      <c r="P77">
        <v>1</v>
      </c>
      <c r="Q77" t="s">
        <v>7</v>
      </c>
      <c r="W77" s="672" t="s">
        <v>1269</v>
      </c>
      <c r="X77" t="s">
        <v>1216</v>
      </c>
      <c r="AB77" t="s">
        <v>1270</v>
      </c>
    </row>
    <row r="78" spans="1:28">
      <c r="A78" t="s">
        <v>1021</v>
      </c>
      <c r="B78" s="672" t="s">
        <v>965</v>
      </c>
      <c r="C78">
        <v>0</v>
      </c>
      <c r="E78" t="s">
        <v>1022</v>
      </c>
      <c r="F78" s="673" t="s">
        <v>967</v>
      </c>
      <c r="G78" s="672" t="s">
        <v>961</v>
      </c>
      <c r="H78">
        <v>0.21099999999999999</v>
      </c>
      <c r="J78" s="1" t="s">
        <v>1208</v>
      </c>
      <c r="K78">
        <v>107635374</v>
      </c>
      <c r="L78" s="2">
        <v>45345</v>
      </c>
      <c r="M78">
        <v>25</v>
      </c>
      <c r="N78">
        <v>1</v>
      </c>
      <c r="O78">
        <v>0</v>
      </c>
      <c r="P78">
        <v>1</v>
      </c>
      <c r="Q78" t="s">
        <v>7</v>
      </c>
      <c r="U78" s="603"/>
      <c r="W78" s="672" t="s">
        <v>1271</v>
      </c>
      <c r="X78" t="s">
        <v>1272</v>
      </c>
      <c r="AB78" t="s">
        <v>1273</v>
      </c>
    </row>
    <row r="79" spans="1:28">
      <c r="A79" t="s">
        <v>1021</v>
      </c>
      <c r="B79" s="672" t="s">
        <v>965</v>
      </c>
      <c r="C79">
        <v>0</v>
      </c>
      <c r="E79" t="s">
        <v>1022</v>
      </c>
      <c r="F79" s="674" t="s">
        <v>968</v>
      </c>
      <c r="G79" s="672" t="s">
        <v>961</v>
      </c>
      <c r="H79">
        <v>0.21099999999999999</v>
      </c>
      <c r="J79" s="1" t="s">
        <v>1208</v>
      </c>
      <c r="K79">
        <v>106578511</v>
      </c>
      <c r="L79" s="2">
        <v>44277</v>
      </c>
      <c r="M79">
        <v>23</v>
      </c>
      <c r="N79">
        <v>1</v>
      </c>
      <c r="O79">
        <v>4</v>
      </c>
      <c r="P79">
        <v>1</v>
      </c>
      <c r="Q79" t="s">
        <v>3</v>
      </c>
      <c r="W79" s="672" t="s">
        <v>1274</v>
      </c>
      <c r="X79" t="s">
        <v>1264</v>
      </c>
      <c r="AB79" t="s">
        <v>1275</v>
      </c>
    </row>
    <row r="80" spans="1:28">
      <c r="A80" t="s">
        <v>1021</v>
      </c>
      <c r="B80" s="672" t="s">
        <v>965</v>
      </c>
      <c r="C80">
        <v>0</v>
      </c>
      <c r="E80" t="s">
        <v>1022</v>
      </c>
      <c r="F80" s="674" t="s">
        <v>968</v>
      </c>
      <c r="G80" s="672" t="s">
        <v>961</v>
      </c>
      <c r="H80">
        <v>0.21099999999999999</v>
      </c>
      <c r="J80" s="1" t="s">
        <v>1208</v>
      </c>
      <c r="K80">
        <v>107208073</v>
      </c>
      <c r="L80" s="2">
        <v>44919</v>
      </c>
      <c r="M80">
        <v>24</v>
      </c>
      <c r="N80">
        <v>1</v>
      </c>
      <c r="O80">
        <v>8</v>
      </c>
      <c r="P80">
        <v>1</v>
      </c>
      <c r="Q80" t="s">
        <v>7</v>
      </c>
      <c r="W80" s="672" t="s">
        <v>1276</v>
      </c>
      <c r="X80" t="s">
        <v>1213</v>
      </c>
      <c r="AB80" t="s">
        <v>1277</v>
      </c>
    </row>
    <row r="81" spans="1:28">
      <c r="A81" t="s">
        <v>1021</v>
      </c>
      <c r="B81" s="672" t="s">
        <v>965</v>
      </c>
      <c r="C81">
        <v>0</v>
      </c>
      <c r="E81" t="s">
        <v>1022</v>
      </c>
      <c r="F81" s="674" t="s">
        <v>968</v>
      </c>
      <c r="G81" s="672" t="s">
        <v>961</v>
      </c>
      <c r="H81">
        <v>0.21099999999999999</v>
      </c>
      <c r="J81" s="1" t="s">
        <v>1208</v>
      </c>
      <c r="K81">
        <v>104982048</v>
      </c>
      <c r="L81" s="2">
        <v>42719</v>
      </c>
      <c r="M81">
        <v>30</v>
      </c>
      <c r="N81">
        <v>1</v>
      </c>
      <c r="O81">
        <v>8</v>
      </c>
      <c r="P81">
        <v>1</v>
      </c>
      <c r="Q81" t="s">
        <v>7</v>
      </c>
      <c r="W81" s="672" t="s">
        <v>1278</v>
      </c>
      <c r="X81" t="s">
        <v>1267</v>
      </c>
      <c r="AB81" t="s">
        <v>1279</v>
      </c>
    </row>
    <row r="82" spans="1:28">
      <c r="A82" t="s">
        <v>1021</v>
      </c>
      <c r="B82" s="672" t="s">
        <v>965</v>
      </c>
      <c r="C82">
        <v>0</v>
      </c>
      <c r="E82" t="s">
        <v>1022</v>
      </c>
      <c r="F82" s="674" t="s">
        <v>968</v>
      </c>
      <c r="G82" s="672" t="s">
        <v>961</v>
      </c>
      <c r="H82">
        <v>0.21099999999999999</v>
      </c>
      <c r="J82" s="1" t="s">
        <v>1208</v>
      </c>
      <c r="K82">
        <v>106969091</v>
      </c>
      <c r="L82" s="2">
        <v>44707</v>
      </c>
      <c r="M82">
        <v>30</v>
      </c>
      <c r="N82">
        <v>1</v>
      </c>
      <c r="O82">
        <v>8</v>
      </c>
      <c r="P82">
        <v>1</v>
      </c>
      <c r="Q82" t="s">
        <v>7</v>
      </c>
      <c r="U82" s="603"/>
      <c r="W82" s="672" t="s">
        <v>1276</v>
      </c>
      <c r="X82" t="s">
        <v>1280</v>
      </c>
      <c r="AB82" t="s">
        <v>1281</v>
      </c>
    </row>
    <row r="83" spans="1:28">
      <c r="A83" t="s">
        <v>1021</v>
      </c>
      <c r="B83" s="672" t="s">
        <v>965</v>
      </c>
      <c r="C83">
        <v>0</v>
      </c>
      <c r="E83" t="s">
        <v>1022</v>
      </c>
      <c r="G83" s="672" t="s">
        <v>961</v>
      </c>
      <c r="H83">
        <v>0.21099999999999999</v>
      </c>
      <c r="J83" s="1" t="s">
        <v>1208</v>
      </c>
      <c r="K83">
        <v>108093329</v>
      </c>
      <c r="L83" s="2">
        <v>45775</v>
      </c>
      <c r="M83">
        <v>28</v>
      </c>
      <c r="N83">
        <v>1</v>
      </c>
      <c r="O83">
        <v>8</v>
      </c>
      <c r="P83">
        <v>1</v>
      </c>
      <c r="Q83" t="s">
        <v>7</v>
      </c>
      <c r="W83" s="672" t="s">
        <v>1282</v>
      </c>
      <c r="X83" t="s">
        <v>1283</v>
      </c>
      <c r="AB83" t="s">
        <v>1284</v>
      </c>
    </row>
    <row r="84" spans="1:28">
      <c r="A84" t="s">
        <v>1021</v>
      </c>
      <c r="B84" s="672" t="s">
        <v>965</v>
      </c>
      <c r="C84">
        <v>0</v>
      </c>
      <c r="E84" t="s">
        <v>1022</v>
      </c>
      <c r="G84" s="672" t="s">
        <v>961</v>
      </c>
      <c r="H84">
        <v>0.21099999999999999</v>
      </c>
      <c r="J84" s="1" t="s">
        <v>1208</v>
      </c>
      <c r="K84">
        <v>105125306</v>
      </c>
      <c r="L84" s="2">
        <v>42871</v>
      </c>
      <c r="M84">
        <v>30</v>
      </c>
      <c r="N84">
        <v>1</v>
      </c>
      <c r="O84">
        <v>0</v>
      </c>
      <c r="P84">
        <v>1</v>
      </c>
      <c r="Q84" t="s">
        <v>3</v>
      </c>
      <c r="W84" s="672" t="s">
        <v>1285</v>
      </c>
      <c r="X84" t="s">
        <v>1267</v>
      </c>
      <c r="AB84" t="s">
        <v>1286</v>
      </c>
    </row>
    <row r="85" spans="1:28">
      <c r="A85" t="s">
        <v>1021</v>
      </c>
      <c r="B85" t="s">
        <v>1022</v>
      </c>
      <c r="C85">
        <v>0</v>
      </c>
      <c r="D85" t="s">
        <v>757</v>
      </c>
      <c r="E85" s="672" t="s">
        <v>965</v>
      </c>
      <c r="F85" s="673" t="s">
        <v>967</v>
      </c>
      <c r="G85" s="672" t="s">
        <v>961</v>
      </c>
      <c r="H85">
        <v>0.21099999999999999</v>
      </c>
      <c r="J85" s="1" t="s">
        <v>1208</v>
      </c>
      <c r="K85">
        <v>108301120</v>
      </c>
      <c r="L85" s="2">
        <v>45971</v>
      </c>
      <c r="M85">
        <v>20</v>
      </c>
      <c r="N85">
        <v>1</v>
      </c>
      <c r="O85">
        <v>0</v>
      </c>
      <c r="P85">
        <v>1</v>
      </c>
      <c r="Q85" t="s">
        <v>7</v>
      </c>
      <c r="W85" s="672" t="s">
        <v>1287</v>
      </c>
      <c r="X85" t="s">
        <v>1288</v>
      </c>
      <c r="AB85" t="s">
        <v>1289</v>
      </c>
    </row>
    <row r="86" spans="1:28">
      <c r="A86" t="s">
        <v>1021</v>
      </c>
      <c r="B86" t="s">
        <v>1022</v>
      </c>
      <c r="C86">
        <v>0</v>
      </c>
      <c r="E86" s="672" t="s">
        <v>965</v>
      </c>
      <c r="G86" s="672" t="s">
        <v>961</v>
      </c>
      <c r="H86">
        <v>0.21099999999999999</v>
      </c>
      <c r="J86" s="1" t="s">
        <v>1208</v>
      </c>
      <c r="K86">
        <v>108243989</v>
      </c>
      <c r="L86" s="2">
        <v>45926</v>
      </c>
      <c r="M86">
        <v>21</v>
      </c>
      <c r="N86">
        <v>1</v>
      </c>
      <c r="O86">
        <v>0</v>
      </c>
      <c r="P86">
        <v>1</v>
      </c>
      <c r="Q86" t="s">
        <v>7</v>
      </c>
      <c r="W86" s="672" t="s">
        <v>1290</v>
      </c>
      <c r="X86" t="s">
        <v>1291</v>
      </c>
      <c r="AB86" t="s">
        <v>1292</v>
      </c>
    </row>
    <row r="87" spans="1:28">
      <c r="A87" t="s">
        <v>1021</v>
      </c>
      <c r="B87" s="672" t="s">
        <v>965</v>
      </c>
      <c r="C87">
        <v>3.7999999999999999E-2</v>
      </c>
      <c r="D87" t="s">
        <v>6</v>
      </c>
      <c r="E87" s="673" t="s">
        <v>963</v>
      </c>
      <c r="F87" s="675" t="s">
        <v>1020</v>
      </c>
      <c r="G87" s="672" t="s">
        <v>961</v>
      </c>
      <c r="H87">
        <v>0.249</v>
      </c>
      <c r="J87" s="1" t="s">
        <v>1208</v>
      </c>
      <c r="K87">
        <v>105919405</v>
      </c>
      <c r="L87" s="2">
        <v>43622</v>
      </c>
      <c r="M87">
        <v>30</v>
      </c>
      <c r="N87">
        <v>1</v>
      </c>
      <c r="O87">
        <v>0</v>
      </c>
      <c r="P87">
        <v>1</v>
      </c>
      <c r="Q87" t="s">
        <v>7</v>
      </c>
      <c r="W87" s="672" t="s">
        <v>1296</v>
      </c>
      <c r="X87" t="s">
        <v>1295</v>
      </c>
      <c r="AB87" s="676" t="s">
        <v>1297</v>
      </c>
    </row>
    <row r="88" spans="1:28">
      <c r="A88" t="s">
        <v>1021</v>
      </c>
      <c r="B88" s="672" t="s">
        <v>965</v>
      </c>
      <c r="C88">
        <v>4.8000000000000001E-2</v>
      </c>
      <c r="D88" t="s">
        <v>756</v>
      </c>
      <c r="E88" s="673" t="s">
        <v>967</v>
      </c>
      <c r="F88" s="675" t="s">
        <v>1020</v>
      </c>
      <c r="G88" s="672" t="s">
        <v>961</v>
      </c>
      <c r="H88">
        <v>0.25900000000000001</v>
      </c>
      <c r="J88" s="1" t="s">
        <v>1208</v>
      </c>
      <c r="K88">
        <v>107150024</v>
      </c>
      <c r="L88" s="2">
        <v>44878</v>
      </c>
      <c r="M88">
        <v>28</v>
      </c>
      <c r="N88">
        <v>1</v>
      </c>
      <c r="O88">
        <v>0</v>
      </c>
      <c r="P88">
        <v>1</v>
      </c>
      <c r="Q88" t="s">
        <v>7</v>
      </c>
      <c r="W88" s="672" t="s">
        <v>1298</v>
      </c>
      <c r="X88" t="s">
        <v>1226</v>
      </c>
      <c r="AB88" t="s">
        <v>1299</v>
      </c>
    </row>
    <row r="89" spans="1:28">
      <c r="A89" t="s">
        <v>1021</v>
      </c>
      <c r="B89" s="672" t="s">
        <v>965</v>
      </c>
      <c r="C89">
        <v>7.9000000000000001E-2</v>
      </c>
      <c r="D89" t="s">
        <v>758</v>
      </c>
      <c r="E89" s="675" t="s">
        <v>1020</v>
      </c>
      <c r="F89" s="673" t="s">
        <v>967</v>
      </c>
      <c r="G89" s="672" t="s">
        <v>961</v>
      </c>
      <c r="H89">
        <v>0.26100000000000001</v>
      </c>
      <c r="J89" s="1" t="s">
        <v>1208</v>
      </c>
      <c r="K89">
        <v>106837459</v>
      </c>
      <c r="L89" s="2">
        <v>44581</v>
      </c>
      <c r="M89">
        <v>28</v>
      </c>
      <c r="N89">
        <v>2</v>
      </c>
      <c r="O89">
        <v>0</v>
      </c>
      <c r="P89">
        <v>1</v>
      </c>
      <c r="Q89" t="s">
        <v>7</v>
      </c>
      <c r="U89" s="603"/>
      <c r="W89" s="672" t="s">
        <v>1300</v>
      </c>
      <c r="X89" t="s">
        <v>1295</v>
      </c>
      <c r="AB89" t="s">
        <v>1301</v>
      </c>
    </row>
    <row r="90" spans="1:28">
      <c r="A90" t="s">
        <v>1021</v>
      </c>
      <c r="B90" s="672" t="s">
        <v>965</v>
      </c>
      <c r="C90">
        <v>5.7000000000000002E-2</v>
      </c>
      <c r="D90" t="s">
        <v>758</v>
      </c>
      <c r="E90" s="675" t="s">
        <v>1020</v>
      </c>
      <c r="F90" s="673" t="s">
        <v>967</v>
      </c>
      <c r="G90" s="672" t="s">
        <v>961</v>
      </c>
      <c r="H90">
        <v>0.28299999999999997</v>
      </c>
      <c r="J90" s="1" t="s">
        <v>1208</v>
      </c>
      <c r="K90">
        <v>107950519</v>
      </c>
      <c r="L90" s="2">
        <v>45633</v>
      </c>
      <c r="M90">
        <v>17</v>
      </c>
      <c r="N90">
        <v>1</v>
      </c>
      <c r="O90">
        <v>0</v>
      </c>
      <c r="P90">
        <v>5</v>
      </c>
      <c r="Q90" t="s">
        <v>7</v>
      </c>
      <c r="W90" s="672" t="s">
        <v>1302</v>
      </c>
      <c r="X90" t="s">
        <v>1303</v>
      </c>
      <c r="AB90" t="s">
        <v>1304</v>
      </c>
    </row>
    <row r="91" spans="1:28">
      <c r="A91" t="s">
        <v>1021</v>
      </c>
      <c r="B91" s="672" t="s">
        <v>965</v>
      </c>
      <c r="C91">
        <v>5.7000000000000002E-2</v>
      </c>
      <c r="D91" t="s">
        <v>758</v>
      </c>
      <c r="E91" s="675" t="s">
        <v>1020</v>
      </c>
      <c r="F91" s="673" t="s">
        <v>967</v>
      </c>
      <c r="G91" s="672" t="s">
        <v>961</v>
      </c>
      <c r="H91">
        <v>0.28299999999999997</v>
      </c>
      <c r="J91" s="1" t="s">
        <v>1208</v>
      </c>
      <c r="K91">
        <v>106810307</v>
      </c>
      <c r="L91" s="2">
        <v>44550</v>
      </c>
      <c r="M91">
        <v>28</v>
      </c>
      <c r="N91">
        <v>1</v>
      </c>
      <c r="O91">
        <v>0</v>
      </c>
      <c r="P91">
        <v>4</v>
      </c>
      <c r="Q91" t="s">
        <v>7</v>
      </c>
      <c r="W91" s="672" t="s">
        <v>1302</v>
      </c>
      <c r="X91" t="s">
        <v>1295</v>
      </c>
      <c r="AB91" t="s">
        <v>1305</v>
      </c>
    </row>
    <row r="92" spans="1:28">
      <c r="A92" t="s">
        <v>754</v>
      </c>
      <c r="B92" s="672" t="s">
        <v>961</v>
      </c>
      <c r="C92">
        <v>0.3</v>
      </c>
      <c r="D92" t="s">
        <v>756</v>
      </c>
      <c r="E92" s="674" t="s">
        <v>968</v>
      </c>
      <c r="F92" t="s">
        <v>973</v>
      </c>
      <c r="G92" s="672" t="s">
        <v>961</v>
      </c>
      <c r="H92">
        <v>0.3</v>
      </c>
      <c r="J92" s="1" t="s">
        <v>1208</v>
      </c>
      <c r="K92">
        <v>105844062</v>
      </c>
      <c r="L92" s="2">
        <v>43572</v>
      </c>
      <c r="M92">
        <v>21</v>
      </c>
      <c r="N92">
        <v>1</v>
      </c>
      <c r="O92">
        <v>0</v>
      </c>
      <c r="P92">
        <v>1</v>
      </c>
      <c r="Q92" t="s">
        <v>7</v>
      </c>
      <c r="U92" s="603"/>
      <c r="W92" t="s">
        <v>1306</v>
      </c>
      <c r="X92" t="s">
        <v>1243</v>
      </c>
      <c r="AB92" t="s">
        <v>1307</v>
      </c>
    </row>
    <row r="93" spans="1:28">
      <c r="A93" t="s">
        <v>1021</v>
      </c>
      <c r="B93" s="673" t="s">
        <v>967</v>
      </c>
      <c r="C93">
        <v>6.4000000000000001E-2</v>
      </c>
      <c r="D93" t="s">
        <v>6</v>
      </c>
      <c r="E93" s="675" t="s">
        <v>1018</v>
      </c>
      <c r="F93" s="672" t="s">
        <v>965</v>
      </c>
      <c r="G93" s="673" t="s">
        <v>960</v>
      </c>
      <c r="H93">
        <v>1.4259999999999999</v>
      </c>
      <c r="J93" s="1" t="s">
        <v>1208</v>
      </c>
      <c r="K93">
        <v>107049763</v>
      </c>
      <c r="L93" s="2">
        <v>44791</v>
      </c>
      <c r="M93">
        <v>24</v>
      </c>
      <c r="N93">
        <v>1</v>
      </c>
      <c r="O93">
        <v>0</v>
      </c>
      <c r="P93">
        <v>1</v>
      </c>
      <c r="Q93" t="s">
        <v>7</v>
      </c>
      <c r="U93" s="603"/>
      <c r="W93" s="672" t="s">
        <v>1310</v>
      </c>
      <c r="X93" t="s">
        <v>1311</v>
      </c>
      <c r="AB93" t="s">
        <v>1312</v>
      </c>
    </row>
    <row r="94" spans="1:28">
      <c r="A94" t="s">
        <v>1021</v>
      </c>
      <c r="B94" s="673" t="s">
        <v>967</v>
      </c>
      <c r="C94">
        <v>6.9000000000000006E-2</v>
      </c>
      <c r="D94" t="s">
        <v>6</v>
      </c>
      <c r="E94" s="675" t="s">
        <v>1018</v>
      </c>
      <c r="G94" s="673" t="s">
        <v>960</v>
      </c>
      <c r="H94">
        <v>1.431</v>
      </c>
      <c r="J94" s="1" t="s">
        <v>1208</v>
      </c>
      <c r="K94">
        <v>108406684</v>
      </c>
      <c r="L94" s="2">
        <v>46071</v>
      </c>
      <c r="M94">
        <v>24</v>
      </c>
      <c r="N94">
        <v>1</v>
      </c>
      <c r="O94">
        <v>8</v>
      </c>
      <c r="P94">
        <v>1</v>
      </c>
      <c r="Q94" t="s">
        <v>7</v>
      </c>
      <c r="U94" s="603"/>
      <c r="W94" s="672" t="s">
        <v>1313</v>
      </c>
      <c r="X94" t="s">
        <v>1314</v>
      </c>
      <c r="AB94" t="s">
        <v>1315</v>
      </c>
    </row>
    <row r="95" spans="1:28">
      <c r="A95" t="s">
        <v>1021</v>
      </c>
      <c r="B95" s="672" t="s">
        <v>1146</v>
      </c>
      <c r="C95">
        <v>0.01</v>
      </c>
      <c r="D95" t="s">
        <v>758</v>
      </c>
      <c r="E95" s="673" t="s">
        <v>967</v>
      </c>
      <c r="F95" s="674" t="s">
        <v>968</v>
      </c>
      <c r="H95">
        <v>999.99900000000002</v>
      </c>
      <c r="J95" s="1" t="s">
        <v>1208</v>
      </c>
      <c r="K95">
        <v>107288114</v>
      </c>
      <c r="L95" s="2">
        <v>45014</v>
      </c>
      <c r="M95">
        <v>23</v>
      </c>
      <c r="N95">
        <v>1</v>
      </c>
      <c r="O95">
        <v>8</v>
      </c>
      <c r="P95">
        <v>1</v>
      </c>
      <c r="Q95" t="s">
        <v>7</v>
      </c>
      <c r="W95" s="672" t="s">
        <v>1322</v>
      </c>
      <c r="X95" t="s">
        <v>1323</v>
      </c>
      <c r="AB95" t="s">
        <v>1324</v>
      </c>
    </row>
    <row r="96" spans="1:28">
      <c r="A96" t="s">
        <v>1021</v>
      </c>
      <c r="B96" s="673" t="s">
        <v>967</v>
      </c>
      <c r="C96">
        <v>0</v>
      </c>
      <c r="E96" s="672" t="s">
        <v>1057</v>
      </c>
      <c r="F96" s="675" t="s">
        <v>1018</v>
      </c>
      <c r="H96">
        <v>999.99900000000002</v>
      </c>
      <c r="J96" s="1" t="s">
        <v>1208</v>
      </c>
      <c r="K96">
        <v>107422822</v>
      </c>
      <c r="L96" s="2">
        <v>45150</v>
      </c>
      <c r="M96">
        <v>24</v>
      </c>
      <c r="N96">
        <v>1</v>
      </c>
      <c r="O96">
        <v>8</v>
      </c>
      <c r="P96">
        <v>1</v>
      </c>
      <c r="Q96" t="s">
        <v>7</v>
      </c>
      <c r="W96" s="672" t="s">
        <v>1328</v>
      </c>
      <c r="X96" t="s">
        <v>1329</v>
      </c>
      <c r="AB96" t="s">
        <v>1330</v>
      </c>
    </row>
    <row r="97" spans="1:28">
      <c r="A97" t="s">
        <v>1021</v>
      </c>
      <c r="B97" s="672" t="s">
        <v>965</v>
      </c>
      <c r="C97">
        <v>4.0000000000000001E-3</v>
      </c>
      <c r="D97" t="s">
        <v>758</v>
      </c>
      <c r="E97" s="673" t="s">
        <v>1125</v>
      </c>
      <c r="F97" s="674" t="s">
        <v>968</v>
      </c>
      <c r="H97">
        <v>999.99900000000002</v>
      </c>
      <c r="J97" s="1" t="s">
        <v>1208</v>
      </c>
      <c r="K97">
        <v>106363268</v>
      </c>
      <c r="L97" s="2">
        <v>44078</v>
      </c>
      <c r="M97">
        <v>21</v>
      </c>
      <c r="N97">
        <v>1</v>
      </c>
      <c r="O97">
        <v>7</v>
      </c>
      <c r="P97">
        <v>5</v>
      </c>
      <c r="Q97" t="s">
        <v>7</v>
      </c>
      <c r="W97" s="672" t="s">
        <v>1331</v>
      </c>
      <c r="X97" t="s">
        <v>1332</v>
      </c>
      <c r="AB97" t="s">
        <v>1333</v>
      </c>
    </row>
    <row r="98" spans="1:28" s="607" customFormat="1">
      <c r="A98" t="s">
        <v>1021</v>
      </c>
      <c r="B98" s="673" t="s">
        <v>967</v>
      </c>
      <c r="C98">
        <v>0</v>
      </c>
      <c r="D98"/>
      <c r="E98" t="s">
        <v>1093</v>
      </c>
      <c r="F98" s="672" t="s">
        <v>965</v>
      </c>
      <c r="G98" s="673" t="s">
        <v>967</v>
      </c>
      <c r="H98">
        <v>999.99900000000002</v>
      </c>
      <c r="I98"/>
      <c r="J98" s="1" t="s">
        <v>1208</v>
      </c>
      <c r="K98">
        <v>107353411</v>
      </c>
      <c r="L98" s="2">
        <v>45079</v>
      </c>
      <c r="M98">
        <v>24</v>
      </c>
      <c r="N98">
        <v>1</v>
      </c>
      <c r="O98">
        <v>8</v>
      </c>
      <c r="P98">
        <v>1</v>
      </c>
      <c r="Q98" t="s">
        <v>7</v>
      </c>
      <c r="R98"/>
      <c r="S98"/>
      <c r="T98"/>
      <c r="U98"/>
      <c r="V98"/>
      <c r="W98" s="672" t="s">
        <v>1346</v>
      </c>
      <c r="X98"/>
      <c r="Y98"/>
      <c r="Z98"/>
      <c r="AA98"/>
      <c r="AB98"/>
    </row>
    <row r="99" spans="1:28">
      <c r="A99" t="s">
        <v>1021</v>
      </c>
      <c r="B99" s="672" t="s">
        <v>965</v>
      </c>
      <c r="C99">
        <v>0.45</v>
      </c>
      <c r="D99" t="s">
        <v>758</v>
      </c>
      <c r="E99" s="673" t="s">
        <v>967</v>
      </c>
      <c r="F99" s="674" t="s">
        <v>968</v>
      </c>
      <c r="G99" s="672" t="s">
        <v>962</v>
      </c>
      <c r="H99">
        <v>1.9530000000000001</v>
      </c>
      <c r="J99" s="1" t="s">
        <v>1208</v>
      </c>
      <c r="K99">
        <v>106802351</v>
      </c>
      <c r="L99" s="2">
        <v>44504</v>
      </c>
      <c r="M99">
        <v>24</v>
      </c>
      <c r="N99">
        <v>2</v>
      </c>
      <c r="O99">
        <v>8</v>
      </c>
      <c r="P99">
        <v>1</v>
      </c>
      <c r="Q99" t="s">
        <v>7</v>
      </c>
      <c r="W99" s="672" t="s">
        <v>1347</v>
      </c>
    </row>
    <row r="100" spans="1:28">
      <c r="A100" t="s">
        <v>1021</v>
      </c>
      <c r="B100" s="672" t="s">
        <v>965</v>
      </c>
      <c r="C100">
        <v>9.4E-2</v>
      </c>
      <c r="D100" t="s">
        <v>764</v>
      </c>
      <c r="E100" s="674" t="s">
        <v>968</v>
      </c>
      <c r="F100" s="673" t="s">
        <v>967</v>
      </c>
      <c r="G100" s="672" t="s">
        <v>962</v>
      </c>
      <c r="H100">
        <v>2.0979999999999999</v>
      </c>
      <c r="J100" s="1" t="s">
        <v>1208</v>
      </c>
      <c r="K100">
        <v>107487781</v>
      </c>
      <c r="L100" s="2">
        <v>45211</v>
      </c>
      <c r="M100">
        <v>30</v>
      </c>
      <c r="N100">
        <v>1</v>
      </c>
      <c r="O100">
        <v>8</v>
      </c>
      <c r="P100">
        <v>4</v>
      </c>
      <c r="Q100" t="s">
        <v>7</v>
      </c>
      <c r="W100" s="672" t="s">
        <v>1347</v>
      </c>
    </row>
    <row r="101" spans="1:28">
      <c r="A101" t="s">
        <v>1021</v>
      </c>
      <c r="B101" s="672" t="s">
        <v>965</v>
      </c>
      <c r="C101">
        <v>7.5999999999999998E-2</v>
      </c>
      <c r="D101" t="s">
        <v>764</v>
      </c>
      <c r="E101" s="674" t="s">
        <v>968</v>
      </c>
      <c r="F101" s="673" t="s">
        <v>963</v>
      </c>
      <c r="G101" s="672" t="s">
        <v>962</v>
      </c>
      <c r="H101">
        <v>2.1160000000000001</v>
      </c>
      <c r="J101" s="1" t="s">
        <v>1208</v>
      </c>
      <c r="K101">
        <v>108188729</v>
      </c>
      <c r="L101" s="2">
        <v>45869</v>
      </c>
      <c r="M101">
        <v>24</v>
      </c>
      <c r="N101">
        <v>1</v>
      </c>
      <c r="O101">
        <v>12</v>
      </c>
      <c r="P101">
        <v>1</v>
      </c>
      <c r="Q101" t="s">
        <v>7</v>
      </c>
      <c r="W101" s="672" t="s">
        <v>1347</v>
      </c>
    </row>
    <row r="102" spans="1:28">
      <c r="A102" t="s">
        <v>1021</v>
      </c>
      <c r="B102" s="672" t="s">
        <v>965</v>
      </c>
      <c r="C102">
        <v>5.7000000000000002E-2</v>
      </c>
      <c r="D102" t="s">
        <v>764</v>
      </c>
      <c r="E102" s="674" t="s">
        <v>968</v>
      </c>
      <c r="F102" s="673" t="s">
        <v>967</v>
      </c>
      <c r="G102" s="672" t="s">
        <v>962</v>
      </c>
      <c r="H102">
        <v>2.1349999999999998</v>
      </c>
      <c r="J102" s="1" t="s">
        <v>1208</v>
      </c>
      <c r="K102">
        <v>107946257</v>
      </c>
      <c r="L102" s="2">
        <v>45631</v>
      </c>
      <c r="M102">
        <v>21</v>
      </c>
      <c r="N102">
        <v>1</v>
      </c>
      <c r="O102">
        <v>7</v>
      </c>
      <c r="P102">
        <v>4</v>
      </c>
      <c r="Q102" t="s">
        <v>3</v>
      </c>
      <c r="W102" s="672" t="s">
        <v>885</v>
      </c>
    </row>
    <row r="103" spans="1:28">
      <c r="A103" t="s">
        <v>1021</v>
      </c>
      <c r="B103" s="672" t="s">
        <v>965</v>
      </c>
      <c r="C103">
        <v>5.7000000000000002E-2</v>
      </c>
      <c r="D103" t="s">
        <v>764</v>
      </c>
      <c r="E103" s="674" t="s">
        <v>968</v>
      </c>
      <c r="F103" s="673" t="s">
        <v>967</v>
      </c>
      <c r="G103" s="672" t="s">
        <v>962</v>
      </c>
      <c r="H103">
        <v>2.1349999999999998</v>
      </c>
      <c r="J103" s="1" t="s">
        <v>1208</v>
      </c>
      <c r="K103">
        <v>108546965</v>
      </c>
      <c r="L103" s="2">
        <v>46204</v>
      </c>
      <c r="M103">
        <v>25</v>
      </c>
      <c r="N103">
        <v>1</v>
      </c>
      <c r="O103">
        <v>0</v>
      </c>
      <c r="P103">
        <v>1</v>
      </c>
      <c r="Q103" t="s">
        <v>7</v>
      </c>
      <c r="W103" s="672" t="s">
        <v>1347</v>
      </c>
    </row>
    <row r="104" spans="1:28">
      <c r="A104" t="s">
        <v>1021</v>
      </c>
      <c r="B104" s="672" t="s">
        <v>965</v>
      </c>
      <c r="C104">
        <v>0.05</v>
      </c>
      <c r="D104" t="s">
        <v>764</v>
      </c>
      <c r="E104" s="674" t="s">
        <v>968</v>
      </c>
      <c r="F104" s="673" t="s">
        <v>967</v>
      </c>
      <c r="G104" s="672" t="s">
        <v>962</v>
      </c>
      <c r="H104">
        <v>2.1419999999999999</v>
      </c>
      <c r="J104" s="1" t="s">
        <v>1208</v>
      </c>
      <c r="K104">
        <v>108401704</v>
      </c>
      <c r="L104" s="2">
        <v>46067</v>
      </c>
      <c r="M104">
        <v>28</v>
      </c>
      <c r="N104">
        <v>1</v>
      </c>
      <c r="O104">
        <v>0</v>
      </c>
      <c r="P104">
        <v>1</v>
      </c>
      <c r="Q104" t="s">
        <v>7</v>
      </c>
      <c r="W104" s="672" t="s">
        <v>885</v>
      </c>
    </row>
    <row r="105" spans="1:28">
      <c r="A105" t="s">
        <v>1021</v>
      </c>
      <c r="B105" s="672" t="s">
        <v>965</v>
      </c>
      <c r="C105">
        <v>0.25</v>
      </c>
      <c r="D105" t="s">
        <v>758</v>
      </c>
      <c r="E105" s="673" t="s">
        <v>967</v>
      </c>
      <c r="F105" s="674" t="s">
        <v>968</v>
      </c>
      <c r="G105" s="672" t="s">
        <v>962</v>
      </c>
      <c r="H105">
        <v>2.153</v>
      </c>
      <c r="J105" s="1" t="s">
        <v>1208</v>
      </c>
      <c r="K105">
        <v>106802099</v>
      </c>
      <c r="L105" s="2">
        <v>44377</v>
      </c>
      <c r="M105">
        <v>22</v>
      </c>
      <c r="N105">
        <v>1</v>
      </c>
      <c r="O105">
        <v>0</v>
      </c>
      <c r="P105">
        <v>1</v>
      </c>
      <c r="Q105" t="s">
        <v>7</v>
      </c>
      <c r="W105" s="672" t="s">
        <v>1348</v>
      </c>
    </row>
    <row r="106" spans="1:28">
      <c r="A106" t="s">
        <v>1021</v>
      </c>
      <c r="B106" s="672" t="s">
        <v>965</v>
      </c>
      <c r="C106">
        <v>1.9E-2</v>
      </c>
      <c r="D106" t="s">
        <v>764</v>
      </c>
      <c r="E106" s="674" t="s">
        <v>968</v>
      </c>
      <c r="F106" s="673" t="s">
        <v>967</v>
      </c>
      <c r="G106" s="672" t="s">
        <v>962</v>
      </c>
      <c r="H106">
        <v>2.173</v>
      </c>
      <c r="J106" s="1" t="s">
        <v>1208</v>
      </c>
      <c r="K106">
        <v>108060397</v>
      </c>
      <c r="L106" s="2">
        <v>45743</v>
      </c>
      <c r="M106">
        <v>21</v>
      </c>
      <c r="N106">
        <v>1</v>
      </c>
      <c r="O106">
        <v>7</v>
      </c>
      <c r="P106">
        <v>1</v>
      </c>
      <c r="Q106" t="s">
        <v>7</v>
      </c>
      <c r="W106" s="672" t="s">
        <v>885</v>
      </c>
    </row>
    <row r="107" spans="1:28">
      <c r="A107" t="s">
        <v>1021</v>
      </c>
      <c r="B107" s="672" t="s">
        <v>965</v>
      </c>
      <c r="C107">
        <v>0.224</v>
      </c>
      <c r="D107" t="s">
        <v>758</v>
      </c>
      <c r="E107" s="673" t="s">
        <v>967</v>
      </c>
      <c r="F107" s="674" t="s">
        <v>968</v>
      </c>
      <c r="G107" s="672" t="s">
        <v>962</v>
      </c>
      <c r="H107">
        <v>2.1789999999999998</v>
      </c>
      <c r="J107" s="1" t="s">
        <v>1208</v>
      </c>
      <c r="K107">
        <v>106937847</v>
      </c>
      <c r="L107" s="2">
        <v>44680</v>
      </c>
      <c r="M107">
        <v>21</v>
      </c>
      <c r="N107">
        <v>1</v>
      </c>
      <c r="O107">
        <v>0</v>
      </c>
      <c r="P107">
        <v>1</v>
      </c>
      <c r="Q107" t="s">
        <v>7</v>
      </c>
      <c r="W107" s="672" t="s">
        <v>1348</v>
      </c>
    </row>
    <row r="108" spans="1:28">
      <c r="A108" t="s">
        <v>1021</v>
      </c>
      <c r="B108" s="672" t="s">
        <v>965</v>
      </c>
      <c r="C108">
        <v>1.2999999999999999E-2</v>
      </c>
      <c r="D108" t="s">
        <v>764</v>
      </c>
      <c r="E108" s="674" t="s">
        <v>968</v>
      </c>
      <c r="F108" s="673" t="s">
        <v>967</v>
      </c>
      <c r="G108" s="672" t="s">
        <v>962</v>
      </c>
      <c r="H108">
        <v>2.1789999999999998</v>
      </c>
      <c r="J108" s="1" t="s">
        <v>1208</v>
      </c>
      <c r="K108">
        <v>107923709</v>
      </c>
      <c r="L108" s="2">
        <v>45613</v>
      </c>
      <c r="M108">
        <v>21</v>
      </c>
      <c r="N108">
        <v>1</v>
      </c>
      <c r="O108">
        <v>7</v>
      </c>
      <c r="P108">
        <v>1</v>
      </c>
      <c r="Q108" t="s">
        <v>7</v>
      </c>
      <c r="W108" s="672" t="s">
        <v>885</v>
      </c>
    </row>
    <row r="109" spans="1:28">
      <c r="A109" t="s">
        <v>1021</v>
      </c>
      <c r="B109" s="672" t="s">
        <v>965</v>
      </c>
      <c r="C109">
        <v>0.22</v>
      </c>
      <c r="D109" t="s">
        <v>758</v>
      </c>
      <c r="E109" s="673" t="s">
        <v>967</v>
      </c>
      <c r="F109" s="674" t="s">
        <v>968</v>
      </c>
      <c r="G109" s="672" t="s">
        <v>962</v>
      </c>
      <c r="H109">
        <v>2.1829999999999998</v>
      </c>
      <c r="J109" s="1" t="s">
        <v>1208</v>
      </c>
      <c r="K109">
        <v>107207040</v>
      </c>
      <c r="L109" s="2">
        <v>44935</v>
      </c>
      <c r="M109">
        <v>24</v>
      </c>
      <c r="N109">
        <v>1</v>
      </c>
      <c r="O109">
        <v>0</v>
      </c>
      <c r="P109">
        <v>1</v>
      </c>
      <c r="Q109" t="s">
        <v>3</v>
      </c>
      <c r="W109" s="672" t="s">
        <v>1347</v>
      </c>
    </row>
    <row r="110" spans="1:28">
      <c r="A110" t="s">
        <v>1021</v>
      </c>
      <c r="B110" s="672" t="s">
        <v>965</v>
      </c>
      <c r="C110">
        <v>8.9999999999999993E-3</v>
      </c>
      <c r="D110" t="s">
        <v>764</v>
      </c>
      <c r="E110" s="674" t="s">
        <v>968</v>
      </c>
      <c r="F110" s="673" t="s">
        <v>1190</v>
      </c>
      <c r="G110" s="672" t="s">
        <v>962</v>
      </c>
      <c r="H110">
        <v>2.1829999999999998</v>
      </c>
      <c r="J110" s="1" t="s">
        <v>1208</v>
      </c>
      <c r="K110">
        <v>108273803</v>
      </c>
      <c r="L110" s="2">
        <v>45952</v>
      </c>
      <c r="M110">
        <v>21</v>
      </c>
      <c r="N110">
        <v>1</v>
      </c>
      <c r="O110">
        <v>12</v>
      </c>
      <c r="P110">
        <v>1</v>
      </c>
      <c r="Q110" t="s">
        <v>7</v>
      </c>
      <c r="W110" s="672" t="s">
        <v>885</v>
      </c>
    </row>
    <row r="111" spans="1:28">
      <c r="A111" t="s">
        <v>1021</v>
      </c>
      <c r="B111" s="672" t="s">
        <v>965</v>
      </c>
      <c r="C111">
        <v>4.0000000000000001E-3</v>
      </c>
      <c r="D111" t="s">
        <v>758</v>
      </c>
      <c r="E111" s="674" t="s">
        <v>968</v>
      </c>
      <c r="F111" s="673" t="s">
        <v>967</v>
      </c>
      <c r="G111" s="672" t="s">
        <v>962</v>
      </c>
      <c r="H111">
        <v>2.1880000000000002</v>
      </c>
      <c r="J111" s="1" t="s">
        <v>1208</v>
      </c>
      <c r="K111">
        <v>105240096</v>
      </c>
      <c r="L111" s="2">
        <v>42995</v>
      </c>
      <c r="M111">
        <v>22</v>
      </c>
      <c r="N111">
        <v>1</v>
      </c>
      <c r="O111">
        <v>0</v>
      </c>
      <c r="P111">
        <v>1</v>
      </c>
      <c r="Q111" t="s">
        <v>7</v>
      </c>
      <c r="W111" s="672" t="s">
        <v>885</v>
      </c>
    </row>
    <row r="112" spans="1:28">
      <c r="A112" t="s">
        <v>1021</v>
      </c>
      <c r="B112" s="672" t="s">
        <v>965</v>
      </c>
      <c r="C112">
        <v>1E-3</v>
      </c>
      <c r="D112" t="s">
        <v>764</v>
      </c>
      <c r="E112" s="674" t="s">
        <v>968</v>
      </c>
      <c r="F112" s="673" t="s">
        <v>1182</v>
      </c>
      <c r="G112" s="672" t="s">
        <v>962</v>
      </c>
      <c r="H112">
        <v>2.1909999999999998</v>
      </c>
      <c r="J112" s="1" t="s">
        <v>1208</v>
      </c>
      <c r="K112">
        <v>107925452</v>
      </c>
      <c r="L112" s="2">
        <v>45614</v>
      </c>
      <c r="M112">
        <v>21</v>
      </c>
      <c r="N112">
        <v>1</v>
      </c>
      <c r="O112">
        <v>7</v>
      </c>
      <c r="P112">
        <v>1</v>
      </c>
      <c r="Q112" t="s">
        <v>7</v>
      </c>
      <c r="W112" s="672" t="s">
        <v>885</v>
      </c>
    </row>
    <row r="113" spans="1:23">
      <c r="A113" t="s">
        <v>1021</v>
      </c>
      <c r="B113" s="672" t="s">
        <v>965</v>
      </c>
      <c r="C113">
        <v>0</v>
      </c>
      <c r="E113" s="674" t="s">
        <v>968</v>
      </c>
      <c r="F113" s="673" t="s">
        <v>963</v>
      </c>
      <c r="G113" s="672" t="s">
        <v>962</v>
      </c>
      <c r="H113">
        <v>2.1920000000000002</v>
      </c>
      <c r="J113" s="1" t="s">
        <v>1208</v>
      </c>
      <c r="K113">
        <v>107281990</v>
      </c>
      <c r="L113" s="2">
        <v>45010</v>
      </c>
      <c r="M113">
        <v>21</v>
      </c>
      <c r="N113">
        <v>2</v>
      </c>
      <c r="O113">
        <v>7</v>
      </c>
      <c r="P113">
        <v>1</v>
      </c>
      <c r="Q113" t="s">
        <v>3</v>
      </c>
      <c r="W113" s="672" t="s">
        <v>885</v>
      </c>
    </row>
    <row r="114" spans="1:23">
      <c r="A114" t="s">
        <v>1021</v>
      </c>
      <c r="B114" s="672" t="s">
        <v>965</v>
      </c>
      <c r="C114">
        <v>0</v>
      </c>
      <c r="E114" s="674" t="s">
        <v>968</v>
      </c>
      <c r="F114" s="673" t="s">
        <v>963</v>
      </c>
      <c r="G114" s="672" t="s">
        <v>962</v>
      </c>
      <c r="H114">
        <v>2.1920000000000002</v>
      </c>
      <c r="J114" s="1" t="s">
        <v>1208</v>
      </c>
      <c r="K114">
        <v>107804499</v>
      </c>
      <c r="L114" s="2">
        <v>45505</v>
      </c>
      <c r="M114">
        <v>21</v>
      </c>
      <c r="N114">
        <v>1</v>
      </c>
      <c r="O114">
        <v>7</v>
      </c>
      <c r="P114">
        <v>1</v>
      </c>
      <c r="Q114" t="s">
        <v>3</v>
      </c>
      <c r="W114" s="672" t="s">
        <v>885</v>
      </c>
    </row>
    <row r="115" spans="1:23">
      <c r="A115" t="s">
        <v>1021</v>
      </c>
      <c r="B115" s="672" t="s">
        <v>965</v>
      </c>
      <c r="C115">
        <v>0</v>
      </c>
      <c r="E115" s="674" t="s">
        <v>968</v>
      </c>
      <c r="F115" s="673" t="s">
        <v>963</v>
      </c>
      <c r="G115" s="672" t="s">
        <v>962</v>
      </c>
      <c r="H115">
        <v>2.1920000000000002</v>
      </c>
      <c r="J115" s="1" t="s">
        <v>1208</v>
      </c>
      <c r="K115">
        <v>108009769</v>
      </c>
      <c r="L115" s="2">
        <v>45692</v>
      </c>
      <c r="M115">
        <v>21</v>
      </c>
      <c r="N115">
        <v>1</v>
      </c>
      <c r="O115">
        <v>7</v>
      </c>
      <c r="P115">
        <v>1</v>
      </c>
      <c r="Q115" t="s">
        <v>7</v>
      </c>
      <c r="W115" s="672" t="s">
        <v>885</v>
      </c>
    </row>
    <row r="116" spans="1:23">
      <c r="A116" t="s">
        <v>1021</v>
      </c>
      <c r="B116" s="672" t="s">
        <v>965</v>
      </c>
      <c r="C116">
        <v>0</v>
      </c>
      <c r="D116" t="s">
        <v>756</v>
      </c>
      <c r="E116" s="674" t="s">
        <v>968</v>
      </c>
      <c r="F116" s="673" t="s">
        <v>963</v>
      </c>
      <c r="G116" s="672" t="s">
        <v>962</v>
      </c>
      <c r="H116">
        <v>2.1920000000000002</v>
      </c>
      <c r="J116" s="1" t="s">
        <v>1208</v>
      </c>
      <c r="K116">
        <v>105329619</v>
      </c>
      <c r="L116" s="2">
        <v>43078</v>
      </c>
      <c r="M116">
        <v>24</v>
      </c>
      <c r="N116">
        <v>2</v>
      </c>
      <c r="O116">
        <v>4</v>
      </c>
      <c r="P116">
        <v>1</v>
      </c>
      <c r="Q116" t="s">
        <v>7</v>
      </c>
      <c r="W116" t="s">
        <v>1347</v>
      </c>
    </row>
    <row r="117" spans="1:23">
      <c r="A117" t="s">
        <v>1021</v>
      </c>
      <c r="B117" s="672" t="s">
        <v>965</v>
      </c>
      <c r="C117">
        <v>0</v>
      </c>
      <c r="E117" s="674" t="s">
        <v>968</v>
      </c>
      <c r="F117" s="673" t="s">
        <v>967</v>
      </c>
      <c r="G117" s="672" t="s">
        <v>962</v>
      </c>
      <c r="H117">
        <v>2.1920000000000002</v>
      </c>
      <c r="J117" s="1" t="s">
        <v>1208</v>
      </c>
      <c r="K117">
        <v>107579959</v>
      </c>
      <c r="L117" s="2">
        <v>45290</v>
      </c>
      <c r="M117">
        <v>21</v>
      </c>
      <c r="N117">
        <v>1</v>
      </c>
      <c r="O117">
        <v>7</v>
      </c>
      <c r="P117">
        <v>5</v>
      </c>
      <c r="Q117" t="s">
        <v>7</v>
      </c>
      <c r="W117" s="672" t="s">
        <v>885</v>
      </c>
    </row>
    <row r="118" spans="1:23">
      <c r="A118" t="s">
        <v>1021</v>
      </c>
      <c r="B118" s="672" t="s">
        <v>965</v>
      </c>
      <c r="C118">
        <v>0</v>
      </c>
      <c r="E118" s="674" t="s">
        <v>968</v>
      </c>
      <c r="F118" s="673" t="s">
        <v>967</v>
      </c>
      <c r="G118" s="672" t="s">
        <v>962</v>
      </c>
      <c r="H118">
        <v>2.1920000000000002</v>
      </c>
      <c r="J118" s="1" t="s">
        <v>1208</v>
      </c>
      <c r="K118">
        <v>107935083</v>
      </c>
      <c r="L118" s="2">
        <v>45615</v>
      </c>
      <c r="M118">
        <v>21</v>
      </c>
      <c r="N118">
        <v>1</v>
      </c>
      <c r="O118">
        <v>0</v>
      </c>
      <c r="P118">
        <v>4</v>
      </c>
      <c r="Q118" t="s">
        <v>7</v>
      </c>
      <c r="W118" s="672" t="s">
        <v>885</v>
      </c>
    </row>
    <row r="119" spans="1:23">
      <c r="A119" t="s">
        <v>1021</v>
      </c>
      <c r="B119" s="672" t="s">
        <v>965</v>
      </c>
      <c r="C119">
        <v>0</v>
      </c>
      <c r="E119" s="674" t="s">
        <v>968</v>
      </c>
      <c r="F119" s="673" t="s">
        <v>967</v>
      </c>
      <c r="G119" s="672" t="s">
        <v>962</v>
      </c>
      <c r="H119">
        <v>2.1920000000000002</v>
      </c>
      <c r="J119" s="1" t="s">
        <v>1208</v>
      </c>
      <c r="K119">
        <v>108258243</v>
      </c>
      <c r="L119" s="2">
        <v>45939</v>
      </c>
      <c r="M119">
        <v>21</v>
      </c>
      <c r="N119">
        <v>1</v>
      </c>
      <c r="O119">
        <v>7</v>
      </c>
      <c r="P119">
        <v>3</v>
      </c>
      <c r="Q119" t="s">
        <v>7</v>
      </c>
      <c r="W119" s="672" t="s">
        <v>885</v>
      </c>
    </row>
    <row r="120" spans="1:23">
      <c r="A120" t="s">
        <v>1021</v>
      </c>
      <c r="B120" s="672" t="s">
        <v>965</v>
      </c>
      <c r="C120">
        <v>0</v>
      </c>
      <c r="D120" t="s">
        <v>756</v>
      </c>
      <c r="E120" s="674" t="s">
        <v>968</v>
      </c>
      <c r="F120" s="673" t="s">
        <v>967</v>
      </c>
      <c r="G120" s="672" t="s">
        <v>962</v>
      </c>
      <c r="H120">
        <v>2.1920000000000002</v>
      </c>
      <c r="J120" s="1" t="s">
        <v>1208</v>
      </c>
      <c r="K120">
        <v>108154686</v>
      </c>
      <c r="L120" s="2">
        <v>45834</v>
      </c>
      <c r="M120">
        <v>26</v>
      </c>
      <c r="N120">
        <v>1</v>
      </c>
      <c r="O120">
        <v>0</v>
      </c>
      <c r="P120">
        <v>1</v>
      </c>
      <c r="Q120" t="s">
        <v>7</v>
      </c>
      <c r="W120" s="672" t="s">
        <v>885</v>
      </c>
    </row>
    <row r="121" spans="1:23">
      <c r="A121" t="s">
        <v>1021</v>
      </c>
      <c r="B121" s="672" t="s">
        <v>965</v>
      </c>
      <c r="C121">
        <v>0</v>
      </c>
      <c r="E121" s="674" t="s">
        <v>968</v>
      </c>
      <c r="F121" s="673" t="s">
        <v>967</v>
      </c>
      <c r="G121" s="672" t="s">
        <v>962</v>
      </c>
      <c r="H121">
        <v>2.1920000000000002</v>
      </c>
      <c r="J121" s="1" t="s">
        <v>1208</v>
      </c>
      <c r="K121">
        <v>105591487</v>
      </c>
      <c r="L121" s="2">
        <v>43343</v>
      </c>
      <c r="M121">
        <v>29</v>
      </c>
      <c r="N121">
        <v>1</v>
      </c>
      <c r="O121">
        <v>7</v>
      </c>
      <c r="P121">
        <v>1</v>
      </c>
      <c r="Q121" t="s">
        <v>7</v>
      </c>
      <c r="W121" s="672" t="s">
        <v>885</v>
      </c>
    </row>
    <row r="122" spans="1:23">
      <c r="A122" t="s">
        <v>1021</v>
      </c>
      <c r="B122" s="672" t="s">
        <v>965</v>
      </c>
      <c r="C122">
        <v>0</v>
      </c>
      <c r="D122" t="s">
        <v>757</v>
      </c>
      <c r="E122" s="674" t="s">
        <v>968</v>
      </c>
      <c r="F122" s="673" t="s">
        <v>967</v>
      </c>
      <c r="G122" s="672" t="s">
        <v>962</v>
      </c>
      <c r="H122">
        <v>2.1920000000000002</v>
      </c>
      <c r="J122" s="1" t="s">
        <v>1208</v>
      </c>
      <c r="K122">
        <v>108406685</v>
      </c>
      <c r="L122" s="2">
        <v>46071</v>
      </c>
      <c r="M122">
        <v>30</v>
      </c>
      <c r="N122">
        <v>1</v>
      </c>
      <c r="O122">
        <v>7</v>
      </c>
      <c r="P122">
        <v>1</v>
      </c>
      <c r="Q122" t="s">
        <v>7</v>
      </c>
      <c r="W122" s="672" t="s">
        <v>885</v>
      </c>
    </row>
    <row r="123" spans="1:23">
      <c r="A123" t="s">
        <v>754</v>
      </c>
      <c r="B123" s="672" t="s">
        <v>962</v>
      </c>
      <c r="C123">
        <v>1.4999999999999999E-2</v>
      </c>
      <c r="D123" t="s">
        <v>756</v>
      </c>
      <c r="E123" s="674" t="s">
        <v>968</v>
      </c>
      <c r="F123" s="673" t="s">
        <v>963</v>
      </c>
      <c r="G123" s="672" t="s">
        <v>962</v>
      </c>
      <c r="H123">
        <v>2.1920000000000002</v>
      </c>
      <c r="J123" s="1" t="s">
        <v>1208</v>
      </c>
      <c r="K123">
        <v>108469044</v>
      </c>
      <c r="L123" s="2">
        <v>46125</v>
      </c>
      <c r="M123">
        <v>21</v>
      </c>
      <c r="N123">
        <v>1</v>
      </c>
      <c r="O123">
        <v>0</v>
      </c>
      <c r="P123">
        <v>1</v>
      </c>
      <c r="Q123" t="s">
        <v>3</v>
      </c>
      <c r="R123">
        <v>35.178370000000001</v>
      </c>
      <c r="S123">
        <v>-79.431489999999997</v>
      </c>
      <c r="T123" t="s">
        <v>755</v>
      </c>
      <c r="U123" t="s">
        <v>367</v>
      </c>
      <c r="V123">
        <v>0.19989999999999999</v>
      </c>
      <c r="W123" t="s">
        <v>1348</v>
      </c>
    </row>
    <row r="124" spans="1:23">
      <c r="A124" t="s">
        <v>1021</v>
      </c>
      <c r="B124" s="672" t="s">
        <v>962</v>
      </c>
      <c r="C124">
        <v>3.3000000000000002E-2</v>
      </c>
      <c r="D124" t="s">
        <v>756</v>
      </c>
      <c r="E124" s="674" t="s">
        <v>968</v>
      </c>
      <c r="F124" s="673" t="s">
        <v>960</v>
      </c>
      <c r="G124" s="672" t="s">
        <v>962</v>
      </c>
      <c r="H124">
        <v>2.1920000000000002</v>
      </c>
      <c r="J124" s="1" t="s">
        <v>1208</v>
      </c>
      <c r="K124">
        <v>105933809</v>
      </c>
      <c r="L124" s="2">
        <v>43651</v>
      </c>
      <c r="M124">
        <v>21</v>
      </c>
      <c r="N124">
        <v>1</v>
      </c>
      <c r="O124">
        <v>0</v>
      </c>
      <c r="P124">
        <v>1</v>
      </c>
      <c r="Q124" t="s">
        <v>7</v>
      </c>
      <c r="W124" s="672" t="s">
        <v>885</v>
      </c>
    </row>
    <row r="125" spans="1:23">
      <c r="A125" t="s">
        <v>1021</v>
      </c>
      <c r="B125" s="672" t="s">
        <v>962</v>
      </c>
      <c r="C125">
        <v>1.9E-2</v>
      </c>
      <c r="D125" t="s">
        <v>756</v>
      </c>
      <c r="E125" s="674" t="s">
        <v>968</v>
      </c>
      <c r="F125" s="673" t="s">
        <v>960</v>
      </c>
      <c r="G125" s="672" t="s">
        <v>962</v>
      </c>
      <c r="H125">
        <v>2.1920000000000002</v>
      </c>
      <c r="J125" s="1" t="s">
        <v>1208</v>
      </c>
      <c r="K125">
        <v>106355502</v>
      </c>
      <c r="L125" s="2">
        <v>44104</v>
      </c>
      <c r="M125">
        <v>21</v>
      </c>
      <c r="N125">
        <v>1</v>
      </c>
      <c r="O125">
        <v>0</v>
      </c>
      <c r="P125">
        <v>1</v>
      </c>
      <c r="Q125" t="s">
        <v>3</v>
      </c>
      <c r="W125" s="672" t="s">
        <v>885</v>
      </c>
    </row>
    <row r="126" spans="1:23">
      <c r="A126" t="s">
        <v>1021</v>
      </c>
      <c r="B126" s="672" t="s">
        <v>962</v>
      </c>
      <c r="C126">
        <v>0</v>
      </c>
      <c r="E126" s="674" t="s">
        <v>968</v>
      </c>
      <c r="F126" s="673" t="s">
        <v>960</v>
      </c>
      <c r="G126" s="672" t="s">
        <v>962</v>
      </c>
      <c r="H126">
        <v>2.1920000000000002</v>
      </c>
      <c r="J126" s="1" t="s">
        <v>1208</v>
      </c>
      <c r="K126">
        <v>106763653</v>
      </c>
      <c r="L126" s="2">
        <v>44504</v>
      </c>
      <c r="M126">
        <v>21</v>
      </c>
      <c r="N126">
        <v>2</v>
      </c>
      <c r="O126">
        <v>7</v>
      </c>
      <c r="P126">
        <v>1</v>
      </c>
      <c r="Q126" t="s">
        <v>7</v>
      </c>
      <c r="W126" s="672" t="s">
        <v>885</v>
      </c>
    </row>
    <row r="127" spans="1:23">
      <c r="A127" t="s">
        <v>1021</v>
      </c>
      <c r="B127" s="672" t="s">
        <v>962</v>
      </c>
      <c r="C127">
        <v>4.0000000000000001E-3</v>
      </c>
      <c r="D127" t="s">
        <v>756</v>
      </c>
      <c r="E127" s="674" t="s">
        <v>968</v>
      </c>
      <c r="F127" s="673" t="s">
        <v>960</v>
      </c>
      <c r="G127" s="672" t="s">
        <v>962</v>
      </c>
      <c r="H127">
        <v>2.1920000000000002</v>
      </c>
      <c r="J127" s="1" t="s">
        <v>1208</v>
      </c>
      <c r="K127">
        <v>105954816</v>
      </c>
      <c r="L127" s="2">
        <v>43682</v>
      </c>
      <c r="M127">
        <v>26</v>
      </c>
      <c r="N127">
        <v>1</v>
      </c>
      <c r="O127">
        <v>12</v>
      </c>
      <c r="P127">
        <v>1</v>
      </c>
      <c r="Q127" t="s">
        <v>7</v>
      </c>
      <c r="W127" s="672" t="s">
        <v>885</v>
      </c>
    </row>
    <row r="128" spans="1:23">
      <c r="A128" t="s">
        <v>1021</v>
      </c>
      <c r="B128" s="672" t="s">
        <v>962</v>
      </c>
      <c r="C128">
        <v>0.25</v>
      </c>
      <c r="D128" t="s">
        <v>758</v>
      </c>
      <c r="E128" s="673" t="s">
        <v>960</v>
      </c>
      <c r="F128" s="674" t="s">
        <v>968</v>
      </c>
      <c r="G128" s="672" t="s">
        <v>962</v>
      </c>
      <c r="H128">
        <v>999.99900000000002</v>
      </c>
      <c r="J128" s="1" t="s">
        <v>1208</v>
      </c>
      <c r="K128">
        <v>106778678</v>
      </c>
      <c r="L128" s="2">
        <v>44519</v>
      </c>
      <c r="M128">
        <v>28</v>
      </c>
      <c r="N128">
        <v>1</v>
      </c>
      <c r="O128">
        <v>0</v>
      </c>
      <c r="P128">
        <v>4</v>
      </c>
      <c r="Q128" t="s">
        <v>7</v>
      </c>
      <c r="W128" s="672" t="s">
        <v>1348</v>
      </c>
    </row>
    <row r="129" spans="1:23">
      <c r="A129" t="s">
        <v>1021</v>
      </c>
      <c r="B129" s="672" t="s">
        <v>965</v>
      </c>
      <c r="C129">
        <v>8.0000000000000002E-3</v>
      </c>
      <c r="D129" t="s">
        <v>756</v>
      </c>
      <c r="E129" s="674" t="s">
        <v>968</v>
      </c>
      <c r="F129" s="673" t="s">
        <v>963</v>
      </c>
      <c r="G129" s="672" t="s">
        <v>961</v>
      </c>
      <c r="H129">
        <v>8.0000000000000002E-3</v>
      </c>
      <c r="J129" s="1" t="s">
        <v>1208</v>
      </c>
      <c r="K129">
        <v>107951962</v>
      </c>
      <c r="L129" s="2">
        <v>45636</v>
      </c>
      <c r="M129">
        <v>28</v>
      </c>
      <c r="N129">
        <v>2</v>
      </c>
      <c r="O129">
        <v>7</v>
      </c>
      <c r="P129">
        <v>1</v>
      </c>
      <c r="Q129" t="s">
        <v>7</v>
      </c>
      <c r="W129" s="672" t="s">
        <v>885</v>
      </c>
    </row>
    <row r="130" spans="1:23">
      <c r="A130" t="s">
        <v>1021</v>
      </c>
      <c r="B130" s="672" t="s">
        <v>965</v>
      </c>
      <c r="C130">
        <v>8.9999999999999993E-3</v>
      </c>
      <c r="D130" t="s">
        <v>756</v>
      </c>
      <c r="E130" s="674" t="s">
        <v>968</v>
      </c>
      <c r="F130" s="673" t="s">
        <v>967</v>
      </c>
      <c r="G130" s="672" t="s">
        <v>961</v>
      </c>
      <c r="H130">
        <v>8.9999999999999993E-3</v>
      </c>
      <c r="J130" s="1" t="s">
        <v>1208</v>
      </c>
      <c r="K130">
        <v>106910437</v>
      </c>
      <c r="L130" s="2">
        <v>44656</v>
      </c>
      <c r="M130">
        <v>21</v>
      </c>
      <c r="N130">
        <v>1</v>
      </c>
      <c r="O130">
        <v>0</v>
      </c>
      <c r="P130">
        <v>1</v>
      </c>
      <c r="Q130" t="s">
        <v>7</v>
      </c>
      <c r="W130" s="672" t="s">
        <v>885</v>
      </c>
    </row>
    <row r="131" spans="1:23">
      <c r="A131" t="s">
        <v>1021</v>
      </c>
      <c r="B131" s="672" t="s">
        <v>965</v>
      </c>
      <c r="C131">
        <v>8.9999999999999993E-3</v>
      </c>
      <c r="D131" t="s">
        <v>756</v>
      </c>
      <c r="E131" s="674" t="s">
        <v>968</v>
      </c>
      <c r="F131" s="673" t="s">
        <v>967</v>
      </c>
      <c r="G131" s="672" t="s">
        <v>961</v>
      </c>
      <c r="H131">
        <v>8.9999999999999993E-3</v>
      </c>
      <c r="J131" s="1" t="s">
        <v>1208</v>
      </c>
      <c r="K131">
        <v>105611393</v>
      </c>
      <c r="L131" s="2">
        <v>43349</v>
      </c>
      <c r="M131">
        <v>28</v>
      </c>
      <c r="N131">
        <v>1</v>
      </c>
      <c r="O131">
        <v>7</v>
      </c>
      <c r="P131">
        <v>1</v>
      </c>
      <c r="Q131" t="s">
        <v>7</v>
      </c>
      <c r="W131" s="672" t="s">
        <v>885</v>
      </c>
    </row>
    <row r="132" spans="1:23">
      <c r="A132" t="s">
        <v>1021</v>
      </c>
      <c r="B132" s="672" t="s">
        <v>965</v>
      </c>
      <c r="C132">
        <v>8.9999999999999993E-3</v>
      </c>
      <c r="D132" t="s">
        <v>756</v>
      </c>
      <c r="E132" s="674" t="s">
        <v>1080</v>
      </c>
      <c r="F132" s="673" t="s">
        <v>967</v>
      </c>
      <c r="G132" s="672" t="s">
        <v>961</v>
      </c>
      <c r="H132">
        <v>8.9999999999999993E-3</v>
      </c>
      <c r="J132" s="1" t="s">
        <v>1208</v>
      </c>
      <c r="K132">
        <v>107205129</v>
      </c>
      <c r="L132" s="2">
        <v>44933</v>
      </c>
      <c r="M132">
        <v>21</v>
      </c>
      <c r="N132">
        <v>1</v>
      </c>
      <c r="O132">
        <v>0</v>
      </c>
      <c r="P132">
        <v>1</v>
      </c>
      <c r="Q132" t="s">
        <v>7</v>
      </c>
      <c r="W132" s="672" t="s">
        <v>885</v>
      </c>
    </row>
    <row r="133" spans="1:23">
      <c r="A133" t="s">
        <v>1021</v>
      </c>
      <c r="B133" s="672" t="s">
        <v>965</v>
      </c>
      <c r="C133">
        <v>0.2</v>
      </c>
      <c r="D133" t="s">
        <v>758</v>
      </c>
      <c r="E133" s="673" t="s">
        <v>967</v>
      </c>
      <c r="F133" s="674" t="s">
        <v>968</v>
      </c>
      <c r="G133" s="672" t="s">
        <v>961</v>
      </c>
      <c r="H133">
        <v>1.0999999999999999E-2</v>
      </c>
      <c r="J133" s="1" t="s">
        <v>1208</v>
      </c>
      <c r="K133">
        <v>105611397</v>
      </c>
      <c r="L133" s="2">
        <v>43344</v>
      </c>
      <c r="M133">
        <v>30</v>
      </c>
      <c r="N133">
        <v>1</v>
      </c>
      <c r="O133">
        <v>0</v>
      </c>
      <c r="P133">
        <v>2</v>
      </c>
      <c r="Q133" t="s">
        <v>3</v>
      </c>
      <c r="W133" s="672" t="s">
        <v>1347</v>
      </c>
    </row>
    <row r="134" spans="1:23">
      <c r="A134" t="s">
        <v>1021</v>
      </c>
      <c r="B134" s="672" t="s">
        <v>965</v>
      </c>
      <c r="C134">
        <v>0.2</v>
      </c>
      <c r="D134" t="s">
        <v>758</v>
      </c>
      <c r="E134" s="673" t="s">
        <v>967</v>
      </c>
      <c r="F134" s="674" t="s">
        <v>1080</v>
      </c>
      <c r="G134" s="672" t="s">
        <v>961</v>
      </c>
      <c r="H134">
        <v>1.0999999999999999E-2</v>
      </c>
      <c r="J134" s="1" t="s">
        <v>1208</v>
      </c>
      <c r="K134">
        <v>106296410</v>
      </c>
      <c r="L134" s="2">
        <v>43992</v>
      </c>
      <c r="M134">
        <v>21</v>
      </c>
      <c r="N134">
        <v>1</v>
      </c>
      <c r="O134">
        <v>7</v>
      </c>
      <c r="P134">
        <v>1</v>
      </c>
      <c r="Q134" t="s">
        <v>7</v>
      </c>
      <c r="W134" s="672" t="s">
        <v>885</v>
      </c>
    </row>
    <row r="135" spans="1:23">
      <c r="A135" t="s">
        <v>1021</v>
      </c>
      <c r="B135" s="672" t="s">
        <v>965</v>
      </c>
      <c r="C135">
        <v>0.02</v>
      </c>
      <c r="D135" t="s">
        <v>756</v>
      </c>
      <c r="E135" s="674" t="s">
        <v>968</v>
      </c>
      <c r="F135" s="673" t="s">
        <v>967</v>
      </c>
      <c r="G135" s="672" t="s">
        <v>961</v>
      </c>
      <c r="H135">
        <v>0.02</v>
      </c>
      <c r="J135" s="1" t="s">
        <v>1208</v>
      </c>
      <c r="K135">
        <v>105075626</v>
      </c>
      <c r="L135" s="2">
        <v>42826</v>
      </c>
      <c r="M135">
        <v>30</v>
      </c>
      <c r="N135">
        <v>1</v>
      </c>
      <c r="O135">
        <v>8</v>
      </c>
      <c r="P135">
        <v>1</v>
      </c>
      <c r="Q135" t="s">
        <v>7</v>
      </c>
      <c r="W135" s="672" t="s">
        <v>1347</v>
      </c>
    </row>
    <row r="136" spans="1:23">
      <c r="A136" t="s">
        <v>1021</v>
      </c>
      <c r="B136" s="672" t="s">
        <v>965</v>
      </c>
      <c r="C136">
        <v>0.19</v>
      </c>
      <c r="D136" t="s">
        <v>758</v>
      </c>
      <c r="E136" s="673" t="s">
        <v>967</v>
      </c>
      <c r="F136" s="674" t="s">
        <v>968</v>
      </c>
      <c r="G136" s="672" t="s">
        <v>961</v>
      </c>
      <c r="H136">
        <v>2.1000000000000001E-2</v>
      </c>
      <c r="J136" s="1" t="s">
        <v>1208</v>
      </c>
      <c r="K136">
        <v>107630621</v>
      </c>
      <c r="L136" s="2">
        <v>45343</v>
      </c>
      <c r="M136">
        <v>21</v>
      </c>
      <c r="N136">
        <v>1</v>
      </c>
      <c r="O136">
        <v>0</v>
      </c>
      <c r="P136">
        <v>1</v>
      </c>
      <c r="Q136" t="s">
        <v>7</v>
      </c>
      <c r="W136" s="672" t="s">
        <v>1348</v>
      </c>
    </row>
    <row r="137" spans="1:23">
      <c r="A137" t="s">
        <v>1021</v>
      </c>
      <c r="B137" s="672" t="s">
        <v>965</v>
      </c>
      <c r="C137">
        <v>0.18</v>
      </c>
      <c r="D137" t="s">
        <v>758</v>
      </c>
      <c r="E137" s="673" t="s">
        <v>967</v>
      </c>
      <c r="F137" s="674" t="s">
        <v>968</v>
      </c>
      <c r="G137" s="672" t="s">
        <v>961</v>
      </c>
      <c r="H137">
        <v>3.1E-2</v>
      </c>
      <c r="J137" s="1" t="s">
        <v>1208</v>
      </c>
      <c r="K137">
        <v>107151491</v>
      </c>
      <c r="L137" s="2">
        <v>44883</v>
      </c>
      <c r="M137">
        <v>28</v>
      </c>
      <c r="N137">
        <v>1</v>
      </c>
      <c r="O137">
        <v>0</v>
      </c>
      <c r="P137">
        <v>2</v>
      </c>
      <c r="Q137" t="s">
        <v>7</v>
      </c>
      <c r="W137" s="672" t="s">
        <v>1348</v>
      </c>
    </row>
    <row r="138" spans="1:23">
      <c r="A138" t="s">
        <v>1021</v>
      </c>
      <c r="B138" s="672" t="s">
        <v>965</v>
      </c>
      <c r="C138">
        <v>3.4000000000000002E-2</v>
      </c>
      <c r="D138" t="s">
        <v>756</v>
      </c>
      <c r="E138" s="674" t="s">
        <v>968</v>
      </c>
      <c r="F138" s="673" t="s">
        <v>963</v>
      </c>
      <c r="G138" s="672" t="s">
        <v>961</v>
      </c>
      <c r="H138">
        <v>3.4000000000000002E-2</v>
      </c>
      <c r="J138" s="1" t="s">
        <v>1208</v>
      </c>
      <c r="K138">
        <v>107316179</v>
      </c>
      <c r="L138" s="2">
        <v>45027</v>
      </c>
      <c r="M138">
        <v>28</v>
      </c>
      <c r="N138">
        <v>1</v>
      </c>
      <c r="O138">
        <v>0</v>
      </c>
      <c r="P138">
        <v>1</v>
      </c>
      <c r="Q138" t="s">
        <v>8</v>
      </c>
      <c r="W138" s="672" t="s">
        <v>1348</v>
      </c>
    </row>
    <row r="139" spans="1:23">
      <c r="A139" t="s">
        <v>1021</v>
      </c>
      <c r="B139" s="672" t="s">
        <v>965</v>
      </c>
      <c r="C139">
        <v>3.4000000000000002E-2</v>
      </c>
      <c r="D139" t="s">
        <v>756</v>
      </c>
      <c r="E139" s="674" t="s">
        <v>968</v>
      </c>
      <c r="F139" s="673" t="s">
        <v>967</v>
      </c>
      <c r="G139" s="672" t="s">
        <v>961</v>
      </c>
      <c r="H139">
        <v>3.4000000000000002E-2</v>
      </c>
      <c r="J139" s="1" t="s">
        <v>1208</v>
      </c>
      <c r="K139">
        <v>108484135</v>
      </c>
      <c r="L139" s="2">
        <v>46143</v>
      </c>
      <c r="M139">
        <v>21</v>
      </c>
      <c r="N139">
        <v>2</v>
      </c>
      <c r="O139">
        <v>0</v>
      </c>
      <c r="P139">
        <v>1</v>
      </c>
      <c r="Q139" t="s">
        <v>7</v>
      </c>
      <c r="W139" s="672" t="s">
        <v>885</v>
      </c>
    </row>
    <row r="140" spans="1:23">
      <c r="A140" t="s">
        <v>1021</v>
      </c>
      <c r="B140" s="672" t="s">
        <v>965</v>
      </c>
      <c r="C140">
        <v>3.7999999999999999E-2</v>
      </c>
      <c r="D140" t="s">
        <v>756</v>
      </c>
      <c r="E140" s="674" t="s">
        <v>968</v>
      </c>
      <c r="F140" s="673" t="s">
        <v>967</v>
      </c>
      <c r="G140" s="672" t="s">
        <v>961</v>
      </c>
      <c r="H140">
        <v>3.7999999999999999E-2</v>
      </c>
      <c r="J140" s="1" t="s">
        <v>1208</v>
      </c>
      <c r="K140">
        <v>107067250</v>
      </c>
      <c r="L140" s="2">
        <v>44806</v>
      </c>
      <c r="M140">
        <v>21</v>
      </c>
      <c r="N140">
        <v>1</v>
      </c>
      <c r="O140">
        <v>0</v>
      </c>
      <c r="P140">
        <v>1</v>
      </c>
      <c r="Q140" t="s">
        <v>7</v>
      </c>
      <c r="W140" s="672" t="s">
        <v>1347</v>
      </c>
    </row>
    <row r="141" spans="1:23">
      <c r="A141" t="s">
        <v>1021</v>
      </c>
      <c r="B141" s="672" t="s">
        <v>965</v>
      </c>
      <c r="C141">
        <v>0.17</v>
      </c>
      <c r="D141" t="s">
        <v>758</v>
      </c>
      <c r="E141" s="673" t="s">
        <v>967</v>
      </c>
      <c r="F141" s="674" t="s">
        <v>968</v>
      </c>
      <c r="G141" s="672" t="s">
        <v>961</v>
      </c>
      <c r="H141">
        <v>4.1000000000000002E-2</v>
      </c>
      <c r="J141" s="1" t="s">
        <v>1208</v>
      </c>
      <c r="K141">
        <v>107001492</v>
      </c>
      <c r="L141" s="2">
        <v>44741</v>
      </c>
      <c r="M141">
        <v>21</v>
      </c>
      <c r="N141">
        <v>1</v>
      </c>
      <c r="O141">
        <v>7</v>
      </c>
      <c r="P141">
        <v>1</v>
      </c>
      <c r="Q141" t="s">
        <v>7</v>
      </c>
      <c r="W141" s="672" t="s">
        <v>885</v>
      </c>
    </row>
    <row r="142" spans="1:23">
      <c r="A142" t="s">
        <v>1021</v>
      </c>
      <c r="B142" s="672" t="s">
        <v>965</v>
      </c>
      <c r="C142">
        <v>4.4999999999999998E-2</v>
      </c>
      <c r="D142" t="s">
        <v>756</v>
      </c>
      <c r="E142" s="674" t="s">
        <v>968</v>
      </c>
      <c r="F142" s="673" t="s">
        <v>963</v>
      </c>
      <c r="G142" s="672" t="s">
        <v>961</v>
      </c>
      <c r="H142">
        <v>4.4999999999999998E-2</v>
      </c>
      <c r="J142" s="1" t="s">
        <v>1208</v>
      </c>
      <c r="K142">
        <v>107985189</v>
      </c>
      <c r="L142" s="2">
        <v>45665</v>
      </c>
      <c r="M142">
        <v>28</v>
      </c>
      <c r="N142">
        <v>1</v>
      </c>
      <c r="O142">
        <v>0</v>
      </c>
      <c r="P142">
        <v>1</v>
      </c>
      <c r="Q142" t="s">
        <v>7</v>
      </c>
      <c r="W142" s="672" t="s">
        <v>1348</v>
      </c>
    </row>
    <row r="143" spans="1:23">
      <c r="A143" t="s">
        <v>1021</v>
      </c>
      <c r="B143" s="672" t="s">
        <v>965</v>
      </c>
      <c r="C143">
        <v>5.7000000000000002E-2</v>
      </c>
      <c r="D143" t="s">
        <v>756</v>
      </c>
      <c r="E143" s="674" t="s">
        <v>968</v>
      </c>
      <c r="F143" s="673" t="s">
        <v>967</v>
      </c>
      <c r="G143" s="672" t="s">
        <v>961</v>
      </c>
      <c r="H143">
        <v>5.7000000000000002E-2</v>
      </c>
      <c r="J143" s="1" t="s">
        <v>1208</v>
      </c>
      <c r="K143">
        <v>105720587</v>
      </c>
      <c r="L143" s="2">
        <v>43410</v>
      </c>
      <c r="M143">
        <v>21</v>
      </c>
      <c r="N143">
        <v>1</v>
      </c>
      <c r="O143">
        <v>0</v>
      </c>
      <c r="P143">
        <v>1</v>
      </c>
      <c r="Q143" t="s">
        <v>3</v>
      </c>
      <c r="W143" s="672" t="s">
        <v>1348</v>
      </c>
    </row>
    <row r="144" spans="1:23">
      <c r="A144" t="s">
        <v>1021</v>
      </c>
      <c r="B144" s="672" t="s">
        <v>965</v>
      </c>
      <c r="C144">
        <v>0.06</v>
      </c>
      <c r="D144" t="s">
        <v>756</v>
      </c>
      <c r="E144" s="674" t="s">
        <v>968</v>
      </c>
      <c r="F144" s="673" t="s">
        <v>967</v>
      </c>
      <c r="G144" s="672" t="s">
        <v>961</v>
      </c>
      <c r="H144">
        <v>0.06</v>
      </c>
      <c r="J144" s="1" t="s">
        <v>1208</v>
      </c>
      <c r="K144">
        <v>106284002</v>
      </c>
      <c r="L144" s="2">
        <v>43967</v>
      </c>
      <c r="M144">
        <v>25</v>
      </c>
      <c r="N144">
        <v>1</v>
      </c>
      <c r="O144">
        <v>8</v>
      </c>
      <c r="P144">
        <v>1</v>
      </c>
      <c r="Q144" t="s">
        <v>8</v>
      </c>
      <c r="W144" s="672" t="s">
        <v>1347</v>
      </c>
    </row>
    <row r="145" spans="1:23">
      <c r="A145" t="s">
        <v>1021</v>
      </c>
      <c r="B145" s="672" t="s">
        <v>965</v>
      </c>
      <c r="C145">
        <v>6.6000000000000003E-2</v>
      </c>
      <c r="D145" t="s">
        <v>756</v>
      </c>
      <c r="E145" s="674" t="s">
        <v>968</v>
      </c>
      <c r="F145" s="673" t="s">
        <v>963</v>
      </c>
      <c r="G145" s="672" t="s">
        <v>961</v>
      </c>
      <c r="H145">
        <v>6.6000000000000003E-2</v>
      </c>
      <c r="J145" s="1" t="s">
        <v>1208</v>
      </c>
      <c r="K145">
        <v>106961672</v>
      </c>
      <c r="L145" s="2">
        <v>44701</v>
      </c>
      <c r="M145">
        <v>28</v>
      </c>
      <c r="N145">
        <v>1</v>
      </c>
      <c r="O145">
        <v>0</v>
      </c>
      <c r="P145">
        <v>1</v>
      </c>
      <c r="Q145" t="s">
        <v>7</v>
      </c>
      <c r="W145" s="672" t="s">
        <v>1347</v>
      </c>
    </row>
    <row r="146" spans="1:23">
      <c r="A146" t="s">
        <v>1021</v>
      </c>
      <c r="B146" s="672" t="s">
        <v>965</v>
      </c>
      <c r="C146">
        <v>0.14000000000000001</v>
      </c>
      <c r="D146" t="s">
        <v>758</v>
      </c>
      <c r="E146" s="673" t="s">
        <v>967</v>
      </c>
      <c r="F146" s="674" t="s">
        <v>968</v>
      </c>
      <c r="G146" s="672" t="s">
        <v>961</v>
      </c>
      <c r="H146">
        <v>7.0999999999999994E-2</v>
      </c>
      <c r="J146" s="1" t="s">
        <v>1208</v>
      </c>
      <c r="K146">
        <v>107149989</v>
      </c>
      <c r="L146" s="2">
        <v>44862</v>
      </c>
      <c r="M146">
        <v>21</v>
      </c>
      <c r="N146">
        <v>1</v>
      </c>
      <c r="O146">
        <v>7</v>
      </c>
      <c r="P146">
        <v>1</v>
      </c>
      <c r="Q146" t="s">
        <v>7</v>
      </c>
      <c r="W146" s="672" t="s">
        <v>885</v>
      </c>
    </row>
    <row r="147" spans="1:23">
      <c r="A147" t="s">
        <v>1021</v>
      </c>
      <c r="B147" s="672" t="s">
        <v>965</v>
      </c>
      <c r="C147">
        <v>7.5999999999999998E-2</v>
      </c>
      <c r="D147" t="s">
        <v>756</v>
      </c>
      <c r="E147" s="674" t="s">
        <v>968</v>
      </c>
      <c r="F147" s="673" t="s">
        <v>967</v>
      </c>
      <c r="G147" s="672" t="s">
        <v>961</v>
      </c>
      <c r="H147">
        <v>7.5999999999999998E-2</v>
      </c>
      <c r="J147" s="1" t="s">
        <v>1208</v>
      </c>
      <c r="K147">
        <v>106125019</v>
      </c>
      <c r="L147" s="2">
        <v>43804</v>
      </c>
      <c r="M147">
        <v>30</v>
      </c>
      <c r="N147">
        <v>1</v>
      </c>
      <c r="O147">
        <v>8</v>
      </c>
      <c r="P147">
        <v>1</v>
      </c>
      <c r="Q147" t="s">
        <v>7</v>
      </c>
      <c r="W147" s="672" t="s">
        <v>1347</v>
      </c>
    </row>
    <row r="148" spans="1:23">
      <c r="A148" t="s">
        <v>1021</v>
      </c>
      <c r="B148" s="672" t="s">
        <v>965</v>
      </c>
      <c r="C148">
        <v>0.114</v>
      </c>
      <c r="D148" t="s">
        <v>758</v>
      </c>
      <c r="E148" s="673" t="s">
        <v>967</v>
      </c>
      <c r="F148" s="674" t="s">
        <v>1111</v>
      </c>
      <c r="G148" s="672" t="s">
        <v>961</v>
      </c>
      <c r="H148">
        <v>9.7000000000000003E-2</v>
      </c>
      <c r="J148" s="1" t="s">
        <v>1208</v>
      </c>
      <c r="K148">
        <v>105934950</v>
      </c>
      <c r="L148" s="2">
        <v>43626</v>
      </c>
      <c r="M148">
        <v>30</v>
      </c>
      <c r="N148">
        <v>1</v>
      </c>
      <c r="O148">
        <v>8</v>
      </c>
      <c r="P148">
        <v>1</v>
      </c>
      <c r="Q148" t="s">
        <v>7</v>
      </c>
      <c r="W148" t="s">
        <v>1347</v>
      </c>
    </row>
    <row r="149" spans="1:23">
      <c r="A149" t="s">
        <v>1021</v>
      </c>
      <c r="B149" s="672" t="s">
        <v>965</v>
      </c>
      <c r="C149">
        <v>0.1</v>
      </c>
      <c r="D149" t="s">
        <v>756</v>
      </c>
      <c r="E149" s="674" t="s">
        <v>968</v>
      </c>
      <c r="F149" s="673" t="s">
        <v>967</v>
      </c>
      <c r="G149" s="672" t="s">
        <v>961</v>
      </c>
      <c r="H149">
        <v>0.1</v>
      </c>
      <c r="J149" s="1" t="s">
        <v>1208</v>
      </c>
      <c r="K149">
        <v>107201545</v>
      </c>
      <c r="L149" s="2">
        <v>44912</v>
      </c>
      <c r="M149">
        <v>24</v>
      </c>
      <c r="N149">
        <v>1</v>
      </c>
      <c r="O149">
        <v>8</v>
      </c>
      <c r="P149">
        <v>2</v>
      </c>
      <c r="Q149" t="s">
        <v>7</v>
      </c>
      <c r="W149" t="s">
        <v>1347</v>
      </c>
    </row>
    <row r="150" spans="1:23">
      <c r="A150" t="s">
        <v>1021</v>
      </c>
      <c r="B150" s="672" t="s">
        <v>965</v>
      </c>
      <c r="C150">
        <v>0.11</v>
      </c>
      <c r="D150" t="s">
        <v>758</v>
      </c>
      <c r="E150" s="673" t="s">
        <v>967</v>
      </c>
      <c r="F150" s="674" t="s">
        <v>968</v>
      </c>
      <c r="G150" s="672" t="s">
        <v>961</v>
      </c>
      <c r="H150">
        <v>0.10100000000000001</v>
      </c>
      <c r="J150" s="1" t="s">
        <v>1208</v>
      </c>
      <c r="K150">
        <v>107533994</v>
      </c>
      <c r="L150" s="2">
        <v>45250</v>
      </c>
      <c r="M150">
        <v>24</v>
      </c>
      <c r="N150">
        <v>1</v>
      </c>
      <c r="O150">
        <v>8</v>
      </c>
      <c r="P150">
        <v>1</v>
      </c>
      <c r="Q150" t="s">
        <v>7</v>
      </c>
      <c r="W150" t="s">
        <v>1347</v>
      </c>
    </row>
    <row r="151" spans="1:23">
      <c r="A151" t="s">
        <v>1021</v>
      </c>
      <c r="B151" s="672" t="s">
        <v>965</v>
      </c>
      <c r="C151">
        <v>0.11</v>
      </c>
      <c r="D151" t="s">
        <v>758</v>
      </c>
      <c r="E151" s="673" t="s">
        <v>967</v>
      </c>
      <c r="F151" s="674" t="s">
        <v>968</v>
      </c>
      <c r="G151" s="672" t="s">
        <v>961</v>
      </c>
      <c r="H151">
        <v>0.10100000000000001</v>
      </c>
      <c r="J151" s="1" t="s">
        <v>1208</v>
      </c>
      <c r="K151">
        <v>107635370</v>
      </c>
      <c r="L151" s="2">
        <v>45345</v>
      </c>
      <c r="M151">
        <v>30</v>
      </c>
      <c r="N151">
        <v>1</v>
      </c>
      <c r="O151">
        <v>8</v>
      </c>
      <c r="P151">
        <v>1</v>
      </c>
      <c r="Q151" t="s">
        <v>7</v>
      </c>
      <c r="W151" t="s">
        <v>1347</v>
      </c>
    </row>
    <row r="152" spans="1:23">
      <c r="A152" t="s">
        <v>1021</v>
      </c>
      <c r="B152" s="672" t="s">
        <v>965</v>
      </c>
      <c r="C152">
        <v>0.11</v>
      </c>
      <c r="D152" t="s">
        <v>758</v>
      </c>
      <c r="E152" s="673" t="s">
        <v>967</v>
      </c>
      <c r="F152" s="674" t="s">
        <v>968</v>
      </c>
      <c r="G152" s="672" t="s">
        <v>961</v>
      </c>
      <c r="H152">
        <v>0.10100000000000001</v>
      </c>
      <c r="J152" s="1" t="s">
        <v>1208</v>
      </c>
      <c r="K152">
        <v>107653473</v>
      </c>
      <c r="L152" s="2">
        <v>45362</v>
      </c>
      <c r="M152">
        <v>30</v>
      </c>
      <c r="N152">
        <v>1</v>
      </c>
      <c r="O152">
        <v>8</v>
      </c>
      <c r="P152">
        <v>1</v>
      </c>
      <c r="Q152" t="s">
        <v>7</v>
      </c>
      <c r="W152" t="s">
        <v>1347</v>
      </c>
    </row>
    <row r="153" spans="1:23">
      <c r="A153" t="s">
        <v>1021</v>
      </c>
      <c r="B153" s="672" t="s">
        <v>965</v>
      </c>
      <c r="C153">
        <v>0.109</v>
      </c>
      <c r="D153" t="s">
        <v>758</v>
      </c>
      <c r="E153" s="673" t="s">
        <v>967</v>
      </c>
      <c r="F153" s="674" t="s">
        <v>968</v>
      </c>
      <c r="G153" s="672" t="s">
        <v>961</v>
      </c>
      <c r="H153">
        <v>0.10199999999999999</v>
      </c>
      <c r="J153" s="1" t="s">
        <v>1208</v>
      </c>
      <c r="K153">
        <v>105075633</v>
      </c>
      <c r="L153" s="2">
        <v>42830</v>
      </c>
      <c r="M153">
        <v>30</v>
      </c>
      <c r="N153">
        <v>1</v>
      </c>
      <c r="O153">
        <v>4</v>
      </c>
      <c r="P153">
        <v>1</v>
      </c>
      <c r="Q153" t="s">
        <v>3</v>
      </c>
      <c r="W153" t="s">
        <v>1347</v>
      </c>
    </row>
    <row r="154" spans="1:23">
      <c r="A154" t="s">
        <v>1021</v>
      </c>
      <c r="B154" s="672" t="s">
        <v>965</v>
      </c>
      <c r="C154">
        <v>0.1</v>
      </c>
      <c r="D154" t="s">
        <v>758</v>
      </c>
      <c r="E154" s="673" t="s">
        <v>967</v>
      </c>
      <c r="F154" s="674" t="s">
        <v>1117</v>
      </c>
      <c r="G154" s="672" t="s">
        <v>961</v>
      </c>
      <c r="H154">
        <v>0.111</v>
      </c>
      <c r="J154" s="1" t="s">
        <v>1208</v>
      </c>
      <c r="K154">
        <v>105984036</v>
      </c>
      <c r="L154" s="2">
        <v>43700</v>
      </c>
      <c r="M154">
        <v>30</v>
      </c>
      <c r="N154">
        <v>1</v>
      </c>
      <c r="O154">
        <v>8</v>
      </c>
      <c r="P154">
        <v>1</v>
      </c>
      <c r="Q154" t="s">
        <v>7</v>
      </c>
      <c r="W154" t="s">
        <v>1347</v>
      </c>
    </row>
    <row r="155" spans="1:23">
      <c r="A155" t="s">
        <v>1021</v>
      </c>
      <c r="B155" s="672" t="s">
        <v>965</v>
      </c>
      <c r="C155">
        <v>0.1</v>
      </c>
      <c r="D155" t="s">
        <v>758</v>
      </c>
      <c r="E155" s="673" t="s">
        <v>967</v>
      </c>
      <c r="F155" s="674" t="s">
        <v>1082</v>
      </c>
      <c r="G155" s="672" t="s">
        <v>961</v>
      </c>
      <c r="H155">
        <v>0.111</v>
      </c>
      <c r="J155" s="1" t="s">
        <v>1208</v>
      </c>
      <c r="K155">
        <v>105532282</v>
      </c>
      <c r="L155" s="2">
        <v>43266</v>
      </c>
      <c r="M155">
        <v>30</v>
      </c>
      <c r="N155">
        <v>1</v>
      </c>
      <c r="O155">
        <v>8</v>
      </c>
      <c r="P155">
        <v>1</v>
      </c>
      <c r="Q155" t="s">
        <v>3</v>
      </c>
      <c r="W155" t="s">
        <v>1347</v>
      </c>
    </row>
    <row r="156" spans="1:23">
      <c r="A156" t="s">
        <v>1021</v>
      </c>
      <c r="B156" s="672" t="s">
        <v>965</v>
      </c>
      <c r="C156">
        <v>0.1</v>
      </c>
      <c r="D156" t="s">
        <v>758</v>
      </c>
      <c r="E156" s="673" t="s">
        <v>967</v>
      </c>
      <c r="F156" t="s">
        <v>1084</v>
      </c>
      <c r="G156" s="672" t="s">
        <v>961</v>
      </c>
      <c r="H156">
        <v>0.111</v>
      </c>
      <c r="J156" s="1" t="s">
        <v>1208</v>
      </c>
      <c r="K156">
        <v>105329622</v>
      </c>
      <c r="L156" s="2">
        <v>43079</v>
      </c>
      <c r="M156">
        <v>24</v>
      </c>
      <c r="N156">
        <v>1</v>
      </c>
      <c r="O156">
        <v>8</v>
      </c>
      <c r="P156">
        <v>1</v>
      </c>
      <c r="Q156" t="s">
        <v>3</v>
      </c>
      <c r="W156" t="s">
        <v>1347</v>
      </c>
    </row>
    <row r="157" spans="1:23">
      <c r="A157" t="s">
        <v>1021</v>
      </c>
      <c r="B157" s="672" t="s">
        <v>965</v>
      </c>
      <c r="C157">
        <v>0.1</v>
      </c>
      <c r="D157" t="s">
        <v>758</v>
      </c>
      <c r="E157" s="673" t="s">
        <v>967</v>
      </c>
      <c r="F157" s="674" t="s">
        <v>968</v>
      </c>
      <c r="G157" s="672" t="s">
        <v>961</v>
      </c>
      <c r="H157">
        <v>0.111</v>
      </c>
      <c r="J157" s="1" t="s">
        <v>1208</v>
      </c>
      <c r="K157">
        <v>106802294</v>
      </c>
      <c r="L157" s="2">
        <v>44484</v>
      </c>
      <c r="M157">
        <v>23</v>
      </c>
      <c r="N157">
        <v>1</v>
      </c>
      <c r="O157">
        <v>8</v>
      </c>
      <c r="P157">
        <v>1</v>
      </c>
      <c r="Q157" t="s">
        <v>7</v>
      </c>
      <c r="W157" t="s">
        <v>1347</v>
      </c>
    </row>
    <row r="158" spans="1:23">
      <c r="A158" t="s">
        <v>1021</v>
      </c>
      <c r="B158" s="672" t="s">
        <v>965</v>
      </c>
      <c r="C158">
        <v>0.1</v>
      </c>
      <c r="D158" t="s">
        <v>763</v>
      </c>
      <c r="E158" s="673" t="s">
        <v>967</v>
      </c>
      <c r="F158" s="674" t="s">
        <v>968</v>
      </c>
      <c r="G158" s="672" t="s">
        <v>961</v>
      </c>
      <c r="H158">
        <v>0.111</v>
      </c>
      <c r="J158" s="1" t="s">
        <v>1208</v>
      </c>
      <c r="K158">
        <v>108484532</v>
      </c>
      <c r="L158" s="2">
        <v>46145</v>
      </c>
      <c r="M158">
        <v>26</v>
      </c>
      <c r="N158">
        <v>1</v>
      </c>
      <c r="O158">
        <v>0</v>
      </c>
      <c r="P158">
        <v>1</v>
      </c>
      <c r="Q158" t="s">
        <v>7</v>
      </c>
      <c r="W158" t="s">
        <v>1347</v>
      </c>
    </row>
    <row r="159" spans="1:23">
      <c r="A159" t="s">
        <v>1021</v>
      </c>
      <c r="B159" s="672" t="s">
        <v>965</v>
      </c>
      <c r="C159">
        <v>0.1</v>
      </c>
      <c r="D159" t="s">
        <v>758</v>
      </c>
      <c r="E159" s="673" t="s">
        <v>967</v>
      </c>
      <c r="F159" s="674" t="s">
        <v>968</v>
      </c>
      <c r="G159" s="672" t="s">
        <v>961</v>
      </c>
      <c r="H159">
        <v>0.111</v>
      </c>
      <c r="J159" s="1" t="s">
        <v>1208</v>
      </c>
      <c r="K159">
        <v>105432181</v>
      </c>
      <c r="L159" s="2">
        <v>43168</v>
      </c>
      <c r="M159">
        <v>30</v>
      </c>
      <c r="N159">
        <v>1</v>
      </c>
      <c r="O159">
        <v>8</v>
      </c>
      <c r="P159">
        <v>1</v>
      </c>
      <c r="Q159" t="s">
        <v>7</v>
      </c>
      <c r="W159" t="s">
        <v>1347</v>
      </c>
    </row>
    <row r="160" spans="1:23">
      <c r="A160" t="s">
        <v>1021</v>
      </c>
      <c r="B160" s="672" t="s">
        <v>965</v>
      </c>
      <c r="C160">
        <v>0.1</v>
      </c>
      <c r="D160" t="s">
        <v>758</v>
      </c>
      <c r="E160" s="673" t="s">
        <v>967</v>
      </c>
      <c r="F160" s="674" t="s">
        <v>968</v>
      </c>
      <c r="G160" s="672" t="s">
        <v>961</v>
      </c>
      <c r="H160">
        <v>0.111</v>
      </c>
      <c r="J160" s="1" t="s">
        <v>1208</v>
      </c>
      <c r="K160">
        <v>105645894</v>
      </c>
      <c r="L160" s="2">
        <v>43385</v>
      </c>
      <c r="M160">
        <v>30</v>
      </c>
      <c r="N160">
        <v>1</v>
      </c>
      <c r="O160">
        <v>8</v>
      </c>
      <c r="P160">
        <v>1</v>
      </c>
      <c r="Q160" t="s">
        <v>7</v>
      </c>
      <c r="W160" t="s">
        <v>1347</v>
      </c>
    </row>
    <row r="161" spans="1:23">
      <c r="A161" t="s">
        <v>1021</v>
      </c>
      <c r="B161" s="672" t="s">
        <v>965</v>
      </c>
      <c r="C161">
        <v>0.1</v>
      </c>
      <c r="D161" t="s">
        <v>758</v>
      </c>
      <c r="E161" s="673" t="s">
        <v>967</v>
      </c>
      <c r="F161" s="674" t="s">
        <v>968</v>
      </c>
      <c r="G161" s="672" t="s">
        <v>961</v>
      </c>
      <c r="H161">
        <v>0.111</v>
      </c>
      <c r="J161" s="1" t="s">
        <v>1208</v>
      </c>
      <c r="K161">
        <v>106000020</v>
      </c>
      <c r="L161" s="2">
        <v>43706</v>
      </c>
      <c r="M161">
        <v>30</v>
      </c>
      <c r="N161">
        <v>1</v>
      </c>
      <c r="O161">
        <v>8</v>
      </c>
      <c r="P161">
        <v>1</v>
      </c>
      <c r="Q161" t="s">
        <v>3</v>
      </c>
      <c r="W161" t="s">
        <v>1347</v>
      </c>
    </row>
    <row r="162" spans="1:23">
      <c r="A162" t="s">
        <v>1021</v>
      </c>
      <c r="B162" s="672" t="s">
        <v>965</v>
      </c>
      <c r="C162">
        <v>0.1</v>
      </c>
      <c r="D162" t="s">
        <v>758</v>
      </c>
      <c r="E162" s="673" t="s">
        <v>967</v>
      </c>
      <c r="F162" s="674" t="s">
        <v>968</v>
      </c>
      <c r="G162" s="672" t="s">
        <v>961</v>
      </c>
      <c r="H162">
        <v>0.111</v>
      </c>
      <c r="J162" s="1" t="s">
        <v>1208</v>
      </c>
      <c r="K162">
        <v>106482329</v>
      </c>
      <c r="L162" s="2">
        <v>44183</v>
      </c>
      <c r="M162">
        <v>30</v>
      </c>
      <c r="N162">
        <v>1</v>
      </c>
      <c r="O162">
        <v>8</v>
      </c>
      <c r="P162">
        <v>1</v>
      </c>
      <c r="Q162" t="s">
        <v>7</v>
      </c>
      <c r="W162" t="s">
        <v>1347</v>
      </c>
    </row>
    <row r="163" spans="1:23">
      <c r="A163" t="s">
        <v>1021</v>
      </c>
      <c r="B163" s="672" t="s">
        <v>965</v>
      </c>
      <c r="C163">
        <v>0.1</v>
      </c>
      <c r="D163" t="s">
        <v>758</v>
      </c>
      <c r="E163" s="673" t="s">
        <v>967</v>
      </c>
      <c r="F163" s="674" t="s">
        <v>968</v>
      </c>
      <c r="G163" s="672" t="s">
        <v>961</v>
      </c>
      <c r="H163">
        <v>0.111</v>
      </c>
      <c r="J163" s="1" t="s">
        <v>1208</v>
      </c>
      <c r="K163">
        <v>107251468</v>
      </c>
      <c r="L163" s="2">
        <v>44979</v>
      </c>
      <c r="M163">
        <v>30</v>
      </c>
      <c r="N163">
        <v>1</v>
      </c>
      <c r="O163">
        <v>8</v>
      </c>
      <c r="P163">
        <v>1</v>
      </c>
      <c r="Q163" t="s">
        <v>3</v>
      </c>
      <c r="W163" t="s">
        <v>1347</v>
      </c>
    </row>
    <row r="164" spans="1:23">
      <c r="A164" t="s">
        <v>1021</v>
      </c>
      <c r="B164" s="672" t="s">
        <v>965</v>
      </c>
      <c r="C164">
        <v>1.4999999999999999E-2</v>
      </c>
      <c r="D164" t="s">
        <v>765</v>
      </c>
      <c r="E164" s="675" t="s">
        <v>1020</v>
      </c>
      <c r="F164" s="673" t="s">
        <v>967</v>
      </c>
      <c r="G164" s="672" t="s">
        <v>961</v>
      </c>
      <c r="H164">
        <v>0.32500000000000001</v>
      </c>
      <c r="J164" s="1" t="s">
        <v>1208</v>
      </c>
      <c r="K164">
        <v>108306192</v>
      </c>
      <c r="L164" s="2">
        <v>45975</v>
      </c>
      <c r="M164">
        <v>21</v>
      </c>
      <c r="N164">
        <v>1</v>
      </c>
      <c r="O164">
        <v>0</v>
      </c>
      <c r="P164">
        <v>1</v>
      </c>
      <c r="Q164" t="s">
        <v>7</v>
      </c>
      <c r="W164" t="s">
        <v>1347</v>
      </c>
    </row>
    <row r="165" spans="1:23">
      <c r="A165" t="s">
        <v>1021</v>
      </c>
      <c r="B165" s="672" t="s">
        <v>965</v>
      </c>
      <c r="C165">
        <v>8.0000000000000002E-3</v>
      </c>
      <c r="D165" t="s">
        <v>758</v>
      </c>
      <c r="E165" s="675" t="s">
        <v>1020</v>
      </c>
      <c r="F165" s="673" t="s">
        <v>967</v>
      </c>
      <c r="G165" s="672" t="s">
        <v>961</v>
      </c>
      <c r="H165">
        <v>0.33200000000000002</v>
      </c>
      <c r="J165" s="1" t="s">
        <v>1208</v>
      </c>
      <c r="K165">
        <v>107209484</v>
      </c>
      <c r="L165" s="2">
        <v>44582</v>
      </c>
      <c r="M165">
        <v>30</v>
      </c>
      <c r="N165">
        <v>5</v>
      </c>
      <c r="O165">
        <v>8</v>
      </c>
      <c r="P165">
        <v>5</v>
      </c>
      <c r="Q165" t="s">
        <v>7</v>
      </c>
      <c r="W165" t="s">
        <v>1348</v>
      </c>
    </row>
    <row r="166" spans="1:23">
      <c r="A166" t="s">
        <v>1021</v>
      </c>
      <c r="B166" s="672" t="s">
        <v>965</v>
      </c>
      <c r="C166">
        <v>0</v>
      </c>
      <c r="E166" s="675" t="s">
        <v>1020</v>
      </c>
      <c r="F166" s="673" t="s">
        <v>967</v>
      </c>
      <c r="G166" s="672" t="s">
        <v>961</v>
      </c>
      <c r="H166">
        <v>0.34</v>
      </c>
      <c r="J166" s="1" t="s">
        <v>1208</v>
      </c>
      <c r="K166">
        <v>106186204</v>
      </c>
      <c r="L166" s="2">
        <v>43846</v>
      </c>
      <c r="M166">
        <v>30</v>
      </c>
      <c r="N166">
        <v>1</v>
      </c>
      <c r="O166">
        <v>8</v>
      </c>
      <c r="P166">
        <v>1</v>
      </c>
      <c r="Q166" t="s">
        <v>8</v>
      </c>
      <c r="W166" t="s">
        <v>1349</v>
      </c>
    </row>
    <row r="167" spans="1:23">
      <c r="A167" t="s">
        <v>1021</v>
      </c>
      <c r="B167" s="672" t="s">
        <v>965</v>
      </c>
      <c r="C167">
        <v>3.7999999999999999E-2</v>
      </c>
      <c r="D167" t="s">
        <v>756</v>
      </c>
      <c r="E167" s="675" t="s">
        <v>1020</v>
      </c>
      <c r="F167" s="673" t="s">
        <v>967</v>
      </c>
      <c r="G167" s="672" t="s">
        <v>961</v>
      </c>
      <c r="H167">
        <v>0.378</v>
      </c>
      <c r="J167" s="1" t="s">
        <v>1208</v>
      </c>
      <c r="K167">
        <v>106095388</v>
      </c>
      <c r="L167" s="2">
        <v>43775</v>
      </c>
      <c r="M167">
        <v>17</v>
      </c>
      <c r="N167">
        <v>1</v>
      </c>
      <c r="O167">
        <v>0</v>
      </c>
      <c r="P167">
        <v>1</v>
      </c>
      <c r="Q167" t="s">
        <v>7</v>
      </c>
      <c r="W167" t="s">
        <v>1348</v>
      </c>
    </row>
    <row r="168" spans="1:23">
      <c r="A168" t="s">
        <v>1021</v>
      </c>
      <c r="B168" s="672" t="s">
        <v>965</v>
      </c>
      <c r="C168">
        <v>2E-3</v>
      </c>
      <c r="D168" t="s">
        <v>758</v>
      </c>
      <c r="E168" s="675" t="s">
        <v>1023</v>
      </c>
      <c r="F168" s="673" t="s">
        <v>963</v>
      </c>
      <c r="G168" s="672" t="s">
        <v>961</v>
      </c>
      <c r="H168">
        <v>0.66300000000000003</v>
      </c>
      <c r="J168" s="1" t="s">
        <v>1208</v>
      </c>
      <c r="K168">
        <v>106211370</v>
      </c>
      <c r="L168" s="2">
        <v>43888</v>
      </c>
      <c r="M168">
        <v>28</v>
      </c>
      <c r="N168">
        <v>1</v>
      </c>
      <c r="O168">
        <v>7</v>
      </c>
      <c r="P168">
        <v>4</v>
      </c>
      <c r="Q168" t="s">
        <v>7</v>
      </c>
      <c r="W168" t="s">
        <v>1350</v>
      </c>
    </row>
    <row r="169" spans="1:23">
      <c r="A169" t="s">
        <v>1021</v>
      </c>
      <c r="B169" s="672" t="s">
        <v>965</v>
      </c>
      <c r="C169">
        <v>0</v>
      </c>
      <c r="E169" s="675" t="s">
        <v>1023</v>
      </c>
      <c r="F169" s="673" t="s">
        <v>967</v>
      </c>
      <c r="G169" s="672" t="s">
        <v>961</v>
      </c>
      <c r="H169">
        <v>0.66500000000000004</v>
      </c>
      <c r="J169" s="1" t="s">
        <v>1208</v>
      </c>
      <c r="K169">
        <v>107254035</v>
      </c>
      <c r="L169" s="2">
        <v>44982</v>
      </c>
      <c r="M169">
        <v>28</v>
      </c>
      <c r="N169">
        <v>1</v>
      </c>
      <c r="O169">
        <v>0</v>
      </c>
      <c r="P169">
        <v>1</v>
      </c>
      <c r="Q169" t="s">
        <v>7</v>
      </c>
      <c r="W169" t="s">
        <v>1350</v>
      </c>
    </row>
    <row r="170" spans="1:23">
      <c r="A170" t="s">
        <v>1021</v>
      </c>
      <c r="B170" s="672" t="s">
        <v>965</v>
      </c>
      <c r="C170">
        <v>0</v>
      </c>
      <c r="E170" s="675" t="s">
        <v>1023</v>
      </c>
      <c r="F170" s="673" t="s">
        <v>967</v>
      </c>
      <c r="G170" s="672" t="s">
        <v>961</v>
      </c>
      <c r="H170">
        <v>0.66500000000000004</v>
      </c>
      <c r="J170" s="1" t="s">
        <v>1208</v>
      </c>
      <c r="K170">
        <v>107536974</v>
      </c>
      <c r="L170" s="2">
        <v>45252</v>
      </c>
      <c r="M170">
        <v>28</v>
      </c>
      <c r="N170">
        <v>1</v>
      </c>
      <c r="O170">
        <v>7</v>
      </c>
      <c r="P170">
        <v>1</v>
      </c>
      <c r="Q170" t="s">
        <v>7</v>
      </c>
      <c r="W170" t="s">
        <v>1350</v>
      </c>
    </row>
    <row r="171" spans="1:23">
      <c r="A171" t="s">
        <v>1021</v>
      </c>
      <c r="B171" s="672" t="s">
        <v>965</v>
      </c>
      <c r="C171">
        <v>2E-3</v>
      </c>
      <c r="D171" t="s">
        <v>756</v>
      </c>
      <c r="E171" s="675" t="s">
        <v>1023</v>
      </c>
      <c r="F171" s="673" t="s">
        <v>967</v>
      </c>
      <c r="G171" s="672" t="s">
        <v>961</v>
      </c>
      <c r="H171">
        <v>0.66700000000000004</v>
      </c>
      <c r="J171" s="1" t="s">
        <v>1208</v>
      </c>
      <c r="K171">
        <v>106064301</v>
      </c>
      <c r="L171" s="2">
        <v>43751</v>
      </c>
      <c r="M171">
        <v>21</v>
      </c>
      <c r="N171">
        <v>2</v>
      </c>
      <c r="O171">
        <v>0</v>
      </c>
      <c r="P171">
        <v>1</v>
      </c>
      <c r="Q171" t="s">
        <v>7</v>
      </c>
      <c r="W171" t="s">
        <v>1350</v>
      </c>
    </row>
    <row r="172" spans="1:23">
      <c r="A172" t="s">
        <v>1021</v>
      </c>
      <c r="B172" s="673" t="s">
        <v>967</v>
      </c>
      <c r="C172">
        <v>0</v>
      </c>
      <c r="E172" t="s">
        <v>1029</v>
      </c>
      <c r="F172" s="672" t="s">
        <v>965</v>
      </c>
      <c r="G172" s="673" t="s">
        <v>960</v>
      </c>
      <c r="H172">
        <v>0.91100000000000003</v>
      </c>
      <c r="J172" s="1" t="s">
        <v>1208</v>
      </c>
      <c r="K172">
        <v>106211378</v>
      </c>
      <c r="L172" s="2">
        <v>43870</v>
      </c>
      <c r="M172">
        <v>30</v>
      </c>
      <c r="N172">
        <v>2</v>
      </c>
      <c r="O172">
        <v>8</v>
      </c>
      <c r="P172">
        <v>4</v>
      </c>
      <c r="Q172" t="s">
        <v>7</v>
      </c>
      <c r="W172" t="s">
        <v>1351</v>
      </c>
    </row>
    <row r="173" spans="1:23">
      <c r="A173" t="s">
        <v>1021</v>
      </c>
      <c r="B173" s="673" t="s">
        <v>967</v>
      </c>
      <c r="C173">
        <v>0.1</v>
      </c>
      <c r="D173" t="s">
        <v>6</v>
      </c>
      <c r="E173" t="s">
        <v>1029</v>
      </c>
      <c r="F173" s="672" t="s">
        <v>965</v>
      </c>
      <c r="G173" s="673" t="s">
        <v>960</v>
      </c>
      <c r="H173">
        <v>1.0109999999999999</v>
      </c>
      <c r="J173" s="1" t="s">
        <v>1208</v>
      </c>
      <c r="K173">
        <v>107753861</v>
      </c>
      <c r="L173" s="2">
        <v>45459</v>
      </c>
      <c r="M173">
        <v>19</v>
      </c>
      <c r="N173">
        <v>1</v>
      </c>
      <c r="O173">
        <v>0</v>
      </c>
      <c r="P173">
        <v>1</v>
      </c>
      <c r="Q173" t="s">
        <v>7</v>
      </c>
      <c r="W173" t="s">
        <v>1352</v>
      </c>
    </row>
    <row r="174" spans="1:23">
      <c r="A174" t="s">
        <v>1021</v>
      </c>
      <c r="B174" s="673" t="s">
        <v>967</v>
      </c>
      <c r="C174">
        <v>0.37</v>
      </c>
      <c r="D174" t="s">
        <v>764</v>
      </c>
      <c r="E174" s="672" t="s">
        <v>965</v>
      </c>
      <c r="F174" t="s">
        <v>1029</v>
      </c>
      <c r="G174" s="673" t="s">
        <v>960</v>
      </c>
      <c r="H174">
        <v>1.119</v>
      </c>
      <c r="J174" s="1" t="s">
        <v>1208</v>
      </c>
      <c r="K174">
        <v>107149980</v>
      </c>
      <c r="L174" s="2">
        <v>44861</v>
      </c>
      <c r="M174">
        <v>2</v>
      </c>
      <c r="N174">
        <v>1</v>
      </c>
      <c r="O174">
        <v>0</v>
      </c>
      <c r="P174">
        <v>1</v>
      </c>
      <c r="Q174" t="s">
        <v>7</v>
      </c>
      <c r="W174" t="s">
        <v>1348</v>
      </c>
    </row>
    <row r="175" spans="1:23">
      <c r="A175" t="s">
        <v>1021</v>
      </c>
      <c r="B175" s="673" t="s">
        <v>963</v>
      </c>
      <c r="C175">
        <v>5.0000000000000001E-3</v>
      </c>
      <c r="D175" t="s">
        <v>756</v>
      </c>
      <c r="E175" s="674" t="s">
        <v>968</v>
      </c>
      <c r="F175" s="672" t="s">
        <v>965</v>
      </c>
      <c r="H175">
        <v>999.99900000000002</v>
      </c>
      <c r="J175" s="1" t="s">
        <v>1208</v>
      </c>
      <c r="K175">
        <v>105881697</v>
      </c>
      <c r="L175" s="2">
        <v>43589</v>
      </c>
      <c r="M175">
        <v>2</v>
      </c>
      <c r="N175">
        <v>2</v>
      </c>
      <c r="O175">
        <v>8</v>
      </c>
      <c r="P175">
        <v>5</v>
      </c>
      <c r="Q175" t="s">
        <v>7</v>
      </c>
      <c r="W175" t="s">
        <v>885</v>
      </c>
    </row>
    <row r="176" spans="1:23">
      <c r="L176" s="2"/>
    </row>
    <row r="177" spans="1:28">
      <c r="A177" s="607"/>
      <c r="B177" s="607" t="s">
        <v>1340</v>
      </c>
      <c r="C177" s="607"/>
      <c r="D177" s="607"/>
      <c r="E177" s="607"/>
      <c r="F177" s="607"/>
      <c r="G177" s="607"/>
      <c r="H177" s="607"/>
      <c r="I177" s="607"/>
      <c r="J177" s="668"/>
      <c r="K177" s="607"/>
      <c r="L177" s="608"/>
      <c r="M177" s="607"/>
      <c r="N177" s="607"/>
      <c r="O177" s="607"/>
      <c r="P177" s="607"/>
      <c r="Q177" s="607"/>
      <c r="R177" s="607"/>
      <c r="S177" s="607"/>
      <c r="T177" s="607"/>
      <c r="U177" s="607"/>
      <c r="V177" s="607"/>
      <c r="W177" s="607"/>
      <c r="X177" s="607"/>
      <c r="Y177" s="607"/>
      <c r="Z177" s="607"/>
      <c r="AA177" s="607"/>
      <c r="AB177" s="607"/>
    </row>
    <row r="178" spans="1:28">
      <c r="A178" t="s">
        <v>1021</v>
      </c>
      <c r="B178" t="s">
        <v>1032</v>
      </c>
      <c r="C178">
        <v>8.9999999999999993E-3</v>
      </c>
      <c r="D178" t="s">
        <v>763</v>
      </c>
      <c r="E178" s="672" t="s">
        <v>965</v>
      </c>
      <c r="F178" t="s">
        <v>1040</v>
      </c>
      <c r="G178" t="s">
        <v>1032</v>
      </c>
      <c r="H178">
        <v>0.111</v>
      </c>
      <c r="J178" s="1" t="s">
        <v>770</v>
      </c>
      <c r="K178">
        <v>107570219</v>
      </c>
      <c r="L178" s="2">
        <v>45280</v>
      </c>
      <c r="M178">
        <v>24</v>
      </c>
      <c r="N178">
        <v>1</v>
      </c>
      <c r="O178">
        <v>0</v>
      </c>
      <c r="P178">
        <v>1</v>
      </c>
      <c r="Q178" t="s">
        <v>7</v>
      </c>
      <c r="U178" s="670"/>
    </row>
    <row r="179" spans="1:28">
      <c r="A179" t="s">
        <v>1021</v>
      </c>
      <c r="B179" t="s">
        <v>1032</v>
      </c>
      <c r="C179">
        <v>8.9999999999999993E-3</v>
      </c>
      <c r="D179" t="s">
        <v>6</v>
      </c>
      <c r="E179" s="672" t="s">
        <v>965</v>
      </c>
      <c r="F179" s="675" t="s">
        <v>979</v>
      </c>
      <c r="G179" t="s">
        <v>1032</v>
      </c>
      <c r="H179">
        <v>0.111</v>
      </c>
      <c r="J179" s="1" t="s">
        <v>770</v>
      </c>
      <c r="K179">
        <v>105881690</v>
      </c>
      <c r="L179" s="2">
        <v>43591</v>
      </c>
      <c r="M179">
        <v>21</v>
      </c>
      <c r="N179">
        <v>1</v>
      </c>
      <c r="P179">
        <v>1</v>
      </c>
      <c r="Q179" t="s">
        <v>3</v>
      </c>
    </row>
    <row r="180" spans="1:28">
      <c r="A180" t="s">
        <v>1021</v>
      </c>
      <c r="B180" t="s">
        <v>1032</v>
      </c>
      <c r="C180">
        <v>5.0000000000000001E-3</v>
      </c>
      <c r="D180" t="s">
        <v>6</v>
      </c>
      <c r="E180" s="672" t="s">
        <v>965</v>
      </c>
      <c r="F180" s="675" t="s">
        <v>979</v>
      </c>
      <c r="G180" t="s">
        <v>1032</v>
      </c>
      <c r="H180">
        <v>0.115</v>
      </c>
      <c r="J180" s="1" t="s">
        <v>770</v>
      </c>
      <c r="K180">
        <v>106231667</v>
      </c>
      <c r="L180" s="2">
        <v>43905</v>
      </c>
      <c r="M180">
        <v>2</v>
      </c>
      <c r="N180">
        <v>2</v>
      </c>
      <c r="O180">
        <v>7</v>
      </c>
      <c r="P180">
        <v>5</v>
      </c>
      <c r="Q180" t="s">
        <v>7</v>
      </c>
    </row>
    <row r="181" spans="1:28">
      <c r="A181" t="s">
        <v>1021</v>
      </c>
      <c r="B181" t="s">
        <v>1032</v>
      </c>
      <c r="C181">
        <v>0</v>
      </c>
      <c r="E181" s="672" t="s">
        <v>965</v>
      </c>
      <c r="F181" t="s">
        <v>1126</v>
      </c>
      <c r="G181" t="s">
        <v>1032</v>
      </c>
      <c r="H181">
        <v>0.12</v>
      </c>
      <c r="J181" s="1" t="s">
        <v>770</v>
      </c>
      <c r="K181">
        <v>107450597</v>
      </c>
      <c r="L181" s="2">
        <v>45138</v>
      </c>
      <c r="M181">
        <v>30</v>
      </c>
      <c r="N181">
        <v>1</v>
      </c>
      <c r="O181">
        <v>0</v>
      </c>
      <c r="P181">
        <v>1</v>
      </c>
      <c r="Q181" t="s">
        <v>7</v>
      </c>
      <c r="U181" s="670"/>
    </row>
    <row r="182" spans="1:28">
      <c r="A182" t="s">
        <v>1021</v>
      </c>
      <c r="B182" t="s">
        <v>1032</v>
      </c>
      <c r="C182">
        <v>0</v>
      </c>
      <c r="E182" s="672" t="s">
        <v>965</v>
      </c>
      <c r="F182" t="s">
        <v>1170</v>
      </c>
      <c r="G182" t="s">
        <v>1032</v>
      </c>
      <c r="H182">
        <v>0.12</v>
      </c>
      <c r="J182" s="1" t="s">
        <v>770</v>
      </c>
      <c r="K182">
        <v>107513704</v>
      </c>
      <c r="L182" s="2">
        <v>45234</v>
      </c>
      <c r="M182">
        <v>30</v>
      </c>
      <c r="N182">
        <v>1</v>
      </c>
      <c r="O182">
        <v>7</v>
      </c>
      <c r="P182">
        <v>4</v>
      </c>
      <c r="Q182" t="s">
        <v>3</v>
      </c>
    </row>
    <row r="183" spans="1:28">
      <c r="A183" t="s">
        <v>1021</v>
      </c>
      <c r="B183" t="s">
        <v>1032</v>
      </c>
      <c r="C183">
        <v>0</v>
      </c>
      <c r="E183" s="672" t="s">
        <v>965</v>
      </c>
      <c r="F183" t="s">
        <v>1040</v>
      </c>
      <c r="G183" t="s">
        <v>1032</v>
      </c>
      <c r="H183">
        <v>0.12</v>
      </c>
      <c r="J183" s="1" t="s">
        <v>770</v>
      </c>
      <c r="K183">
        <v>107826061</v>
      </c>
      <c r="L183" s="2">
        <v>45525</v>
      </c>
      <c r="M183">
        <v>24</v>
      </c>
      <c r="N183">
        <v>1</v>
      </c>
      <c r="O183">
        <v>0</v>
      </c>
      <c r="P183">
        <v>1</v>
      </c>
      <c r="Q183" t="s">
        <v>7</v>
      </c>
    </row>
    <row r="184" spans="1:28">
      <c r="A184" t="s">
        <v>1021</v>
      </c>
      <c r="B184" t="s">
        <v>1032</v>
      </c>
      <c r="C184">
        <v>0</v>
      </c>
      <c r="E184" s="672" t="s">
        <v>965</v>
      </c>
      <c r="F184" t="s">
        <v>1040</v>
      </c>
      <c r="G184" t="s">
        <v>1032</v>
      </c>
      <c r="H184">
        <v>0.12</v>
      </c>
      <c r="J184" s="1" t="s">
        <v>770</v>
      </c>
      <c r="K184">
        <v>105432180</v>
      </c>
      <c r="L184" s="2">
        <v>43163</v>
      </c>
      <c r="M184">
        <v>30</v>
      </c>
      <c r="N184">
        <v>1</v>
      </c>
      <c r="O184">
        <v>7</v>
      </c>
      <c r="P184">
        <v>1</v>
      </c>
      <c r="Q184" t="s">
        <v>7</v>
      </c>
    </row>
    <row r="185" spans="1:28">
      <c r="A185" t="s">
        <v>1021</v>
      </c>
      <c r="B185" t="s">
        <v>1032</v>
      </c>
      <c r="C185">
        <v>0</v>
      </c>
      <c r="E185" s="672" t="s">
        <v>965</v>
      </c>
      <c r="F185" t="s">
        <v>1040</v>
      </c>
      <c r="G185" t="s">
        <v>1032</v>
      </c>
      <c r="H185">
        <v>0.12</v>
      </c>
      <c r="J185" s="1" t="s">
        <v>770</v>
      </c>
      <c r="K185">
        <v>106285437</v>
      </c>
      <c r="L185" s="2">
        <v>43980</v>
      </c>
      <c r="M185">
        <v>30</v>
      </c>
      <c r="N185">
        <v>1</v>
      </c>
      <c r="O185">
        <v>7</v>
      </c>
      <c r="P185">
        <v>1</v>
      </c>
      <c r="Q185" t="s">
        <v>3</v>
      </c>
    </row>
    <row r="186" spans="1:28">
      <c r="A186" t="s">
        <v>1021</v>
      </c>
      <c r="B186" t="s">
        <v>1032</v>
      </c>
      <c r="C186">
        <v>0</v>
      </c>
      <c r="D186" t="s">
        <v>763</v>
      </c>
      <c r="E186" s="672" t="s">
        <v>965</v>
      </c>
      <c r="F186" t="s">
        <v>1035</v>
      </c>
      <c r="G186" t="s">
        <v>1032</v>
      </c>
      <c r="H186">
        <v>0.12</v>
      </c>
      <c r="J186" s="1" t="s">
        <v>770</v>
      </c>
      <c r="K186">
        <v>106802237</v>
      </c>
      <c r="L186" s="2">
        <v>44454</v>
      </c>
      <c r="M186">
        <v>21</v>
      </c>
      <c r="N186">
        <v>1</v>
      </c>
      <c r="O186">
        <v>8</v>
      </c>
      <c r="P186">
        <v>1</v>
      </c>
      <c r="Q186" t="s">
        <v>7</v>
      </c>
    </row>
    <row r="187" spans="1:28">
      <c r="A187" t="s">
        <v>1021</v>
      </c>
      <c r="B187" t="s">
        <v>1032</v>
      </c>
      <c r="C187">
        <v>0</v>
      </c>
      <c r="E187" s="672" t="s">
        <v>965</v>
      </c>
      <c r="F187" s="675" t="s">
        <v>979</v>
      </c>
      <c r="G187" t="s">
        <v>1032</v>
      </c>
      <c r="H187">
        <v>0.12</v>
      </c>
      <c r="J187" s="1" t="s">
        <v>770</v>
      </c>
      <c r="K187">
        <v>107173208</v>
      </c>
      <c r="L187" s="2">
        <v>44476</v>
      </c>
      <c r="M187">
        <v>23</v>
      </c>
      <c r="N187">
        <v>2</v>
      </c>
      <c r="O187">
        <v>7</v>
      </c>
      <c r="P187">
        <v>1</v>
      </c>
      <c r="Q187" t="s">
        <v>7</v>
      </c>
    </row>
    <row r="188" spans="1:28">
      <c r="A188" t="s">
        <v>1021</v>
      </c>
      <c r="B188" t="s">
        <v>1032</v>
      </c>
      <c r="C188">
        <v>0</v>
      </c>
      <c r="E188" s="672" t="s">
        <v>965</v>
      </c>
      <c r="F188" s="675" t="s">
        <v>979</v>
      </c>
      <c r="G188" t="s">
        <v>1032</v>
      </c>
      <c r="H188">
        <v>0.12</v>
      </c>
      <c r="J188" s="1" t="s">
        <v>770</v>
      </c>
      <c r="K188">
        <v>105733619</v>
      </c>
      <c r="L188" s="2">
        <v>43441</v>
      </c>
      <c r="M188">
        <v>30</v>
      </c>
      <c r="N188">
        <v>1</v>
      </c>
      <c r="O188">
        <v>7</v>
      </c>
      <c r="P188">
        <v>1</v>
      </c>
      <c r="Q188" t="s">
        <v>7</v>
      </c>
    </row>
    <row r="189" spans="1:28">
      <c r="A189" t="s">
        <v>1021</v>
      </c>
      <c r="B189" t="s">
        <v>1032</v>
      </c>
      <c r="C189">
        <v>0</v>
      </c>
      <c r="E189" s="672" t="s">
        <v>965</v>
      </c>
      <c r="F189" t="s">
        <v>1071</v>
      </c>
      <c r="G189" t="s">
        <v>1032</v>
      </c>
      <c r="H189">
        <v>0.12</v>
      </c>
      <c r="J189" s="1" t="s">
        <v>770</v>
      </c>
      <c r="K189">
        <v>105233238</v>
      </c>
      <c r="L189" s="2">
        <v>42978</v>
      </c>
      <c r="M189">
        <v>30</v>
      </c>
      <c r="N189">
        <v>1</v>
      </c>
      <c r="O189">
        <v>7</v>
      </c>
      <c r="P189">
        <v>1</v>
      </c>
      <c r="Q189" t="s">
        <v>7</v>
      </c>
    </row>
    <row r="190" spans="1:28">
      <c r="A190" t="s">
        <v>1021</v>
      </c>
      <c r="B190" t="s">
        <v>1032</v>
      </c>
      <c r="C190">
        <v>2E-3</v>
      </c>
      <c r="D190" t="s">
        <v>757</v>
      </c>
      <c r="E190" s="672" t="s">
        <v>965</v>
      </c>
      <c r="F190" t="s">
        <v>1071</v>
      </c>
      <c r="G190" t="s">
        <v>1032</v>
      </c>
      <c r="H190">
        <v>0.122</v>
      </c>
      <c r="J190" s="1" t="s">
        <v>770</v>
      </c>
      <c r="K190">
        <v>105792464</v>
      </c>
      <c r="L190" s="2">
        <v>43519</v>
      </c>
      <c r="M190">
        <v>1</v>
      </c>
      <c r="N190">
        <v>2</v>
      </c>
      <c r="O190">
        <v>7</v>
      </c>
      <c r="P190">
        <v>4</v>
      </c>
      <c r="Q190" t="s">
        <v>7</v>
      </c>
    </row>
    <row r="191" spans="1:28">
      <c r="A191" t="s">
        <v>1021</v>
      </c>
      <c r="B191" t="s">
        <v>1032</v>
      </c>
      <c r="C191">
        <v>4.0000000000000001E-3</v>
      </c>
      <c r="D191" t="s">
        <v>764</v>
      </c>
      <c r="E191" s="672" t="s">
        <v>965</v>
      </c>
      <c r="F191" t="s">
        <v>1071</v>
      </c>
      <c r="G191" t="s">
        <v>1032</v>
      </c>
      <c r="H191">
        <v>0.124</v>
      </c>
      <c r="J191" s="1" t="s">
        <v>770</v>
      </c>
      <c r="K191">
        <v>108385461</v>
      </c>
      <c r="L191" s="2">
        <v>46051</v>
      </c>
      <c r="M191">
        <v>21</v>
      </c>
      <c r="N191">
        <v>1</v>
      </c>
      <c r="O191">
        <v>7</v>
      </c>
      <c r="P191">
        <v>1</v>
      </c>
      <c r="Q191" t="s">
        <v>3</v>
      </c>
      <c r="U191" s="670"/>
    </row>
    <row r="192" spans="1:28">
      <c r="A192" t="s">
        <v>1021</v>
      </c>
      <c r="B192" t="s">
        <v>1032</v>
      </c>
      <c r="C192">
        <v>8.9999999999999993E-3</v>
      </c>
      <c r="D192" t="s">
        <v>757</v>
      </c>
      <c r="E192" s="672" t="s">
        <v>965</v>
      </c>
      <c r="F192" t="s">
        <v>1040</v>
      </c>
      <c r="G192" t="s">
        <v>1032</v>
      </c>
      <c r="H192">
        <v>0.129</v>
      </c>
      <c r="J192" s="1" t="s">
        <v>770</v>
      </c>
      <c r="K192">
        <v>108061554</v>
      </c>
      <c r="L192" s="2">
        <v>45744</v>
      </c>
      <c r="M192">
        <v>1</v>
      </c>
      <c r="N192">
        <v>1</v>
      </c>
      <c r="O192">
        <v>0</v>
      </c>
      <c r="P192">
        <v>4</v>
      </c>
      <c r="Q192" t="s">
        <v>7</v>
      </c>
    </row>
    <row r="193" spans="1:22">
      <c r="A193" t="s">
        <v>1021</v>
      </c>
      <c r="B193" t="s">
        <v>1032</v>
      </c>
      <c r="C193">
        <v>1.2E-2</v>
      </c>
      <c r="D193" t="s">
        <v>757</v>
      </c>
      <c r="E193" s="672" t="s">
        <v>965</v>
      </c>
      <c r="F193" t="s">
        <v>1126</v>
      </c>
      <c r="G193" t="s">
        <v>1032</v>
      </c>
      <c r="H193">
        <v>0.13200000000000001</v>
      </c>
      <c r="J193" s="1" t="s">
        <v>770</v>
      </c>
      <c r="K193">
        <v>106521731</v>
      </c>
      <c r="L193" s="2">
        <v>44229</v>
      </c>
      <c r="M193">
        <v>1</v>
      </c>
      <c r="N193">
        <v>1</v>
      </c>
      <c r="O193">
        <v>12</v>
      </c>
      <c r="P193">
        <v>1</v>
      </c>
      <c r="Q193" t="s">
        <v>7</v>
      </c>
    </row>
    <row r="194" spans="1:22">
      <c r="A194" t="s">
        <v>1021</v>
      </c>
      <c r="B194" t="s">
        <v>1032</v>
      </c>
      <c r="C194">
        <v>1.9E-2</v>
      </c>
      <c r="D194" t="s">
        <v>757</v>
      </c>
      <c r="E194" s="672" t="s">
        <v>965</v>
      </c>
      <c r="F194" t="s">
        <v>1040</v>
      </c>
      <c r="G194" t="s">
        <v>1032</v>
      </c>
      <c r="H194">
        <v>0.13900000000000001</v>
      </c>
      <c r="J194" s="1" t="s">
        <v>770</v>
      </c>
      <c r="K194">
        <v>107201549</v>
      </c>
      <c r="L194" s="2">
        <v>44914</v>
      </c>
      <c r="M194">
        <v>29</v>
      </c>
      <c r="N194">
        <v>1</v>
      </c>
      <c r="O194">
        <v>0</v>
      </c>
      <c r="P194">
        <v>5</v>
      </c>
      <c r="Q194" t="s">
        <v>3</v>
      </c>
      <c r="U194" s="670"/>
    </row>
    <row r="195" spans="1:22">
      <c r="A195" t="s">
        <v>1021</v>
      </c>
      <c r="B195" t="s">
        <v>1032</v>
      </c>
      <c r="C195">
        <v>2.3E-2</v>
      </c>
      <c r="D195" t="s">
        <v>764</v>
      </c>
      <c r="E195" s="672" t="s">
        <v>965</v>
      </c>
      <c r="F195" t="s">
        <v>1083</v>
      </c>
      <c r="G195" t="s">
        <v>1032</v>
      </c>
      <c r="H195">
        <v>0.14299999999999999</v>
      </c>
      <c r="J195" s="1" t="s">
        <v>770</v>
      </c>
      <c r="K195">
        <v>106802414</v>
      </c>
      <c r="L195" s="2">
        <v>44526</v>
      </c>
      <c r="M195">
        <v>21</v>
      </c>
      <c r="N195">
        <v>1</v>
      </c>
      <c r="O195">
        <v>0</v>
      </c>
      <c r="P195">
        <v>1</v>
      </c>
      <c r="Q195" t="s">
        <v>3</v>
      </c>
      <c r="U195" s="670"/>
    </row>
    <row r="196" spans="1:22">
      <c r="A196" t="s">
        <v>1021</v>
      </c>
      <c r="B196" t="s">
        <v>1033</v>
      </c>
      <c r="C196">
        <v>1E-3</v>
      </c>
      <c r="D196" t="s">
        <v>764</v>
      </c>
      <c r="E196" s="672" t="s">
        <v>965</v>
      </c>
      <c r="F196" t="s">
        <v>1071</v>
      </c>
      <c r="G196" t="s">
        <v>1033</v>
      </c>
      <c r="H196">
        <v>0.60499999999999998</v>
      </c>
      <c r="I196" t="s">
        <v>61</v>
      </c>
      <c r="J196" s="1" t="s">
        <v>770</v>
      </c>
      <c r="K196">
        <v>108068943</v>
      </c>
      <c r="L196" s="2">
        <v>45753</v>
      </c>
      <c r="M196">
        <v>21</v>
      </c>
      <c r="N196">
        <v>1</v>
      </c>
      <c r="O196">
        <v>7</v>
      </c>
      <c r="P196">
        <v>4</v>
      </c>
      <c r="Q196" t="s">
        <v>7</v>
      </c>
      <c r="U196" s="670"/>
    </row>
    <row r="197" spans="1:22">
      <c r="A197" t="s">
        <v>1021</v>
      </c>
      <c r="B197" t="s">
        <v>1033</v>
      </c>
      <c r="C197">
        <v>0</v>
      </c>
      <c r="E197" s="672" t="s">
        <v>965</v>
      </c>
      <c r="F197" t="s">
        <v>1083</v>
      </c>
      <c r="G197" t="s">
        <v>1033</v>
      </c>
      <c r="H197">
        <v>999.99900000000002</v>
      </c>
      <c r="J197" s="1" t="s">
        <v>770</v>
      </c>
      <c r="K197">
        <v>107058045</v>
      </c>
      <c r="L197" s="2">
        <v>44800</v>
      </c>
      <c r="M197">
        <v>21</v>
      </c>
      <c r="N197">
        <v>1</v>
      </c>
      <c r="O197">
        <v>7</v>
      </c>
      <c r="P197">
        <v>4</v>
      </c>
      <c r="Q197" t="s">
        <v>7</v>
      </c>
      <c r="U197" s="670"/>
    </row>
    <row r="198" spans="1:22">
      <c r="A198" t="s">
        <v>1021</v>
      </c>
      <c r="B198" t="s">
        <v>1033</v>
      </c>
      <c r="C198">
        <v>0</v>
      </c>
      <c r="E198" s="672" t="s">
        <v>965</v>
      </c>
      <c r="F198" t="s">
        <v>1083</v>
      </c>
      <c r="G198" t="s">
        <v>1033</v>
      </c>
      <c r="H198">
        <v>999.99900000000002</v>
      </c>
      <c r="J198" s="1" t="s">
        <v>770</v>
      </c>
      <c r="K198">
        <v>105353830</v>
      </c>
      <c r="L198" s="2">
        <v>43099</v>
      </c>
      <c r="M198">
        <v>30</v>
      </c>
      <c r="N198">
        <v>1</v>
      </c>
      <c r="O198">
        <v>7</v>
      </c>
      <c r="P198">
        <v>1</v>
      </c>
      <c r="Q198" t="s">
        <v>3</v>
      </c>
      <c r="U198" s="670"/>
    </row>
    <row r="199" spans="1:22">
      <c r="A199" t="s">
        <v>1021</v>
      </c>
      <c r="B199" s="673" t="s">
        <v>967</v>
      </c>
      <c r="C199">
        <v>0.09</v>
      </c>
      <c r="D199" t="s">
        <v>6</v>
      </c>
      <c r="E199" s="675" t="s">
        <v>964</v>
      </c>
      <c r="F199" t="s">
        <v>1029</v>
      </c>
      <c r="G199" s="673" t="s">
        <v>967</v>
      </c>
      <c r="H199">
        <v>999.99900000000002</v>
      </c>
      <c r="J199" s="1" t="s">
        <v>770</v>
      </c>
      <c r="K199">
        <v>105984038</v>
      </c>
      <c r="L199" s="2">
        <v>43701</v>
      </c>
      <c r="M199">
        <v>2</v>
      </c>
      <c r="N199">
        <v>2</v>
      </c>
      <c r="O199">
        <v>0</v>
      </c>
      <c r="P199">
        <v>5</v>
      </c>
      <c r="Q199" t="s">
        <v>3</v>
      </c>
      <c r="U199" s="670"/>
    </row>
    <row r="200" spans="1:22">
      <c r="A200" t="s">
        <v>1021</v>
      </c>
      <c r="B200" s="673" t="s">
        <v>967</v>
      </c>
      <c r="C200">
        <v>0.15</v>
      </c>
      <c r="D200" t="s">
        <v>6</v>
      </c>
      <c r="E200" s="675" t="s">
        <v>964</v>
      </c>
      <c r="F200" t="s">
        <v>1029</v>
      </c>
      <c r="G200" s="673" t="s">
        <v>967</v>
      </c>
      <c r="H200">
        <v>999.99900000000002</v>
      </c>
      <c r="J200" s="1" t="s">
        <v>770</v>
      </c>
      <c r="K200">
        <v>106186244</v>
      </c>
      <c r="L200" s="2">
        <v>43852</v>
      </c>
      <c r="M200">
        <v>21</v>
      </c>
      <c r="N200">
        <v>1</v>
      </c>
      <c r="O200">
        <v>0</v>
      </c>
      <c r="P200">
        <v>1</v>
      </c>
      <c r="Q200" t="s">
        <v>7</v>
      </c>
      <c r="U200" s="670"/>
    </row>
    <row r="201" spans="1:22">
      <c r="A201" t="s">
        <v>1021</v>
      </c>
      <c r="B201" t="s">
        <v>1128</v>
      </c>
      <c r="C201">
        <v>0</v>
      </c>
      <c r="E201" s="673" t="s">
        <v>967</v>
      </c>
      <c r="F201" s="674" t="s">
        <v>968</v>
      </c>
      <c r="G201" s="673" t="s">
        <v>967</v>
      </c>
      <c r="H201">
        <v>999.99900000000002</v>
      </c>
      <c r="J201" s="1" t="s">
        <v>770</v>
      </c>
      <c r="K201">
        <v>106556313</v>
      </c>
      <c r="L201" s="2">
        <v>44269</v>
      </c>
      <c r="M201">
        <v>20</v>
      </c>
      <c r="N201">
        <v>1</v>
      </c>
      <c r="P201">
        <v>1</v>
      </c>
    </row>
    <row r="202" spans="1:22">
      <c r="A202" t="s">
        <v>1021</v>
      </c>
      <c r="B202" t="s">
        <v>1038</v>
      </c>
      <c r="C202">
        <v>0</v>
      </c>
      <c r="E202" s="672" t="s">
        <v>965</v>
      </c>
      <c r="G202" s="672" t="s">
        <v>965</v>
      </c>
      <c r="H202">
        <v>999.99900000000002</v>
      </c>
      <c r="J202" s="1" t="s">
        <v>770</v>
      </c>
      <c r="K202">
        <v>108006858</v>
      </c>
      <c r="L202" s="2">
        <v>45688</v>
      </c>
      <c r="M202">
        <v>14</v>
      </c>
      <c r="N202">
        <v>1</v>
      </c>
      <c r="O202">
        <v>8</v>
      </c>
      <c r="P202">
        <v>1</v>
      </c>
      <c r="Q202" t="s">
        <v>3</v>
      </c>
      <c r="R202">
        <v>35.173740000000002</v>
      </c>
      <c r="S202">
        <v>-79.413404</v>
      </c>
      <c r="T202" t="s">
        <v>1060</v>
      </c>
      <c r="U202" t="s">
        <v>367</v>
      </c>
      <c r="V202">
        <v>0.87760000000000005</v>
      </c>
    </row>
    <row r="203" spans="1:22">
      <c r="A203" t="s">
        <v>1021</v>
      </c>
      <c r="B203" t="s">
        <v>1067</v>
      </c>
      <c r="C203">
        <v>0</v>
      </c>
      <c r="E203" s="672" t="s">
        <v>965</v>
      </c>
      <c r="G203" s="672" t="s">
        <v>965</v>
      </c>
      <c r="H203">
        <v>999.99900000000002</v>
      </c>
      <c r="J203" s="1" t="s">
        <v>770</v>
      </c>
      <c r="K203">
        <v>105445166</v>
      </c>
      <c r="L203" s="2">
        <v>43188</v>
      </c>
      <c r="M203">
        <v>27</v>
      </c>
      <c r="N203">
        <v>1</v>
      </c>
      <c r="P203">
        <v>4</v>
      </c>
      <c r="Q203" t="s">
        <v>7</v>
      </c>
    </row>
    <row r="204" spans="1:22">
      <c r="A204" t="s">
        <v>1021</v>
      </c>
      <c r="B204" s="672" t="s">
        <v>965</v>
      </c>
      <c r="C204">
        <v>0.1</v>
      </c>
      <c r="D204" t="s">
        <v>756</v>
      </c>
      <c r="E204" t="s">
        <v>1072</v>
      </c>
      <c r="F204" s="674" t="s">
        <v>968</v>
      </c>
      <c r="G204" s="672" t="s">
        <v>965</v>
      </c>
      <c r="H204">
        <v>999.99900000000002</v>
      </c>
      <c r="J204" s="1" t="s">
        <v>770</v>
      </c>
      <c r="K204">
        <v>107020381</v>
      </c>
      <c r="L204" s="2">
        <v>44761</v>
      </c>
      <c r="M204">
        <v>21</v>
      </c>
      <c r="N204">
        <v>1</v>
      </c>
      <c r="O204">
        <v>7</v>
      </c>
      <c r="P204">
        <v>1</v>
      </c>
      <c r="Q204" t="s">
        <v>7</v>
      </c>
    </row>
    <row r="205" spans="1:22">
      <c r="A205" t="s">
        <v>1021</v>
      </c>
      <c r="B205" s="672" t="s">
        <v>965</v>
      </c>
      <c r="C205">
        <v>0.14000000000000001</v>
      </c>
      <c r="D205" t="s">
        <v>764</v>
      </c>
      <c r="E205" t="s">
        <v>1083</v>
      </c>
      <c r="F205" s="672" t="s">
        <v>965</v>
      </c>
      <c r="G205" s="672" t="s">
        <v>965</v>
      </c>
      <c r="H205">
        <v>999.99900000000002</v>
      </c>
      <c r="J205" s="1" t="s">
        <v>770</v>
      </c>
      <c r="K205">
        <v>107588638</v>
      </c>
      <c r="L205" s="2">
        <v>45300</v>
      </c>
      <c r="M205">
        <v>30</v>
      </c>
      <c r="N205">
        <v>2</v>
      </c>
      <c r="O205">
        <v>8</v>
      </c>
      <c r="P205">
        <v>1</v>
      </c>
      <c r="Q205" t="s">
        <v>7</v>
      </c>
    </row>
    <row r="206" spans="1:22">
      <c r="A206" s="5" t="s">
        <v>1021</v>
      </c>
      <c r="B206" s="672" t="s">
        <v>965</v>
      </c>
      <c r="C206">
        <v>0</v>
      </c>
      <c r="E206" t="s">
        <v>1038</v>
      </c>
      <c r="F206" t="s">
        <v>1064</v>
      </c>
      <c r="G206" s="672" t="s">
        <v>965</v>
      </c>
      <c r="H206">
        <v>999.99900000000002</v>
      </c>
      <c r="J206" s="1" t="s">
        <v>770</v>
      </c>
      <c r="K206">
        <v>108545089</v>
      </c>
      <c r="L206" s="2">
        <v>46203</v>
      </c>
      <c r="M206">
        <v>30</v>
      </c>
      <c r="N206">
        <v>1</v>
      </c>
      <c r="O206">
        <v>0</v>
      </c>
      <c r="P206">
        <v>1</v>
      </c>
      <c r="Q206" t="s">
        <v>7</v>
      </c>
    </row>
    <row r="207" spans="1:22">
      <c r="A207" t="s">
        <v>1021</v>
      </c>
      <c r="B207" s="672" t="s">
        <v>965</v>
      </c>
      <c r="C207">
        <v>2E-3</v>
      </c>
      <c r="D207" t="s">
        <v>758</v>
      </c>
      <c r="E207" t="s">
        <v>1038</v>
      </c>
      <c r="F207" t="s">
        <v>1056</v>
      </c>
      <c r="G207" s="672" t="s">
        <v>965</v>
      </c>
      <c r="H207">
        <v>999.99900000000002</v>
      </c>
      <c r="J207" s="1" t="s">
        <v>770</v>
      </c>
      <c r="K207">
        <v>107991129</v>
      </c>
      <c r="L207" s="2">
        <v>45672</v>
      </c>
      <c r="M207">
        <v>21</v>
      </c>
      <c r="N207">
        <v>1</v>
      </c>
      <c r="O207">
        <v>7</v>
      </c>
      <c r="P207">
        <v>1</v>
      </c>
      <c r="Q207" t="s">
        <v>7</v>
      </c>
    </row>
    <row r="208" spans="1:22">
      <c r="A208" t="s">
        <v>1021</v>
      </c>
      <c r="B208" s="672" t="s">
        <v>965</v>
      </c>
      <c r="C208">
        <v>2.1000000000000001E-2</v>
      </c>
      <c r="D208" t="s">
        <v>762</v>
      </c>
      <c r="E208" t="s">
        <v>1038</v>
      </c>
      <c r="F208" t="s">
        <v>1056</v>
      </c>
      <c r="G208" s="672" t="s">
        <v>965</v>
      </c>
      <c r="H208">
        <v>999.99900000000002</v>
      </c>
      <c r="J208" s="1" t="s">
        <v>770</v>
      </c>
      <c r="K208">
        <v>108052981</v>
      </c>
      <c r="L208" s="2">
        <v>45736</v>
      </c>
      <c r="M208">
        <v>21</v>
      </c>
      <c r="N208">
        <v>2</v>
      </c>
      <c r="O208">
        <v>0</v>
      </c>
      <c r="P208">
        <v>1</v>
      </c>
      <c r="Q208" t="s">
        <v>3</v>
      </c>
    </row>
    <row r="209" spans="1:21">
      <c r="A209" t="s">
        <v>1021</v>
      </c>
      <c r="B209" s="672" t="s">
        <v>965</v>
      </c>
      <c r="C209">
        <v>0</v>
      </c>
      <c r="E209" t="s">
        <v>1038</v>
      </c>
      <c r="F209" t="s">
        <v>1056</v>
      </c>
      <c r="G209" s="672" t="s">
        <v>965</v>
      </c>
      <c r="H209">
        <v>999.99900000000002</v>
      </c>
      <c r="J209" s="1" t="s">
        <v>770</v>
      </c>
      <c r="K209">
        <v>107715242</v>
      </c>
      <c r="L209" s="2">
        <v>45406</v>
      </c>
      <c r="M209">
        <v>30</v>
      </c>
      <c r="N209">
        <v>1</v>
      </c>
      <c r="O209">
        <v>8</v>
      </c>
      <c r="P209">
        <v>1</v>
      </c>
      <c r="Q209" t="s">
        <v>7</v>
      </c>
    </row>
    <row r="210" spans="1:21">
      <c r="A210" t="s">
        <v>1021</v>
      </c>
      <c r="B210" s="672" t="s">
        <v>965</v>
      </c>
      <c r="C210">
        <v>0</v>
      </c>
      <c r="E210" t="s">
        <v>1038</v>
      </c>
      <c r="F210" t="s">
        <v>1056</v>
      </c>
      <c r="G210" s="672" t="s">
        <v>965</v>
      </c>
      <c r="H210">
        <v>999.99900000000002</v>
      </c>
      <c r="J210" s="1" t="s">
        <v>770</v>
      </c>
      <c r="K210">
        <v>107758889</v>
      </c>
      <c r="L210" s="2">
        <v>45464</v>
      </c>
      <c r="M210">
        <v>30</v>
      </c>
      <c r="N210">
        <v>1</v>
      </c>
      <c r="O210">
        <v>0</v>
      </c>
      <c r="P210">
        <v>1</v>
      </c>
      <c r="Q210" t="s">
        <v>7</v>
      </c>
    </row>
    <row r="211" spans="1:21">
      <c r="A211" t="s">
        <v>1021</v>
      </c>
      <c r="B211" s="672" t="s">
        <v>965</v>
      </c>
      <c r="C211">
        <v>0</v>
      </c>
      <c r="D211" t="s">
        <v>6</v>
      </c>
      <c r="E211" t="s">
        <v>1038</v>
      </c>
      <c r="F211" t="s">
        <v>1056</v>
      </c>
      <c r="G211" s="672" t="s">
        <v>965</v>
      </c>
      <c r="H211">
        <v>999.99900000000002</v>
      </c>
      <c r="J211" s="1" t="s">
        <v>770</v>
      </c>
      <c r="K211">
        <v>108326930</v>
      </c>
      <c r="L211" s="2">
        <v>45993</v>
      </c>
      <c r="M211">
        <v>30</v>
      </c>
      <c r="N211">
        <v>2</v>
      </c>
      <c r="O211">
        <v>8</v>
      </c>
      <c r="P211">
        <v>1</v>
      </c>
      <c r="Q211" t="s">
        <v>7</v>
      </c>
    </row>
    <row r="212" spans="1:21">
      <c r="A212" t="s">
        <v>1021</v>
      </c>
      <c r="B212" s="672" t="s">
        <v>965</v>
      </c>
      <c r="C212">
        <v>6.5000000000000002E-2</v>
      </c>
      <c r="D212" t="s">
        <v>765</v>
      </c>
      <c r="E212" t="s">
        <v>1038</v>
      </c>
      <c r="F212" t="s">
        <v>1039</v>
      </c>
      <c r="G212" s="672" t="s">
        <v>965</v>
      </c>
      <c r="H212">
        <v>999.99900000000002</v>
      </c>
      <c r="J212" s="1" t="s">
        <v>770</v>
      </c>
      <c r="K212">
        <v>108028220</v>
      </c>
      <c r="L212" s="2">
        <v>45711</v>
      </c>
      <c r="M212">
        <v>17</v>
      </c>
      <c r="N212">
        <v>1</v>
      </c>
      <c r="O212">
        <v>0</v>
      </c>
      <c r="P212">
        <v>3</v>
      </c>
      <c r="Q212" t="s">
        <v>7</v>
      </c>
    </row>
    <row r="213" spans="1:21">
      <c r="A213" t="s">
        <v>1021</v>
      </c>
      <c r="B213" s="672" t="s">
        <v>965</v>
      </c>
      <c r="C213">
        <v>8.5999999999999993E-2</v>
      </c>
      <c r="D213" t="s">
        <v>758</v>
      </c>
      <c r="E213" t="s">
        <v>1038</v>
      </c>
      <c r="F213" t="s">
        <v>1039</v>
      </c>
      <c r="G213" s="672" t="s">
        <v>965</v>
      </c>
      <c r="H213">
        <v>999.99900000000002</v>
      </c>
      <c r="J213" s="1" t="s">
        <v>770</v>
      </c>
      <c r="K213">
        <v>108596417</v>
      </c>
      <c r="L213" s="2">
        <v>46255</v>
      </c>
      <c r="M213">
        <v>17</v>
      </c>
      <c r="N213">
        <v>1</v>
      </c>
      <c r="O213">
        <v>0</v>
      </c>
      <c r="P213">
        <v>1</v>
      </c>
      <c r="Q213" t="s">
        <v>7</v>
      </c>
    </row>
    <row r="214" spans="1:21">
      <c r="A214" t="s">
        <v>1021</v>
      </c>
      <c r="B214" s="672" t="s">
        <v>965</v>
      </c>
      <c r="C214">
        <v>2.8000000000000001E-2</v>
      </c>
      <c r="D214" t="s">
        <v>765</v>
      </c>
      <c r="E214" t="s">
        <v>1038</v>
      </c>
      <c r="F214" t="s">
        <v>1039</v>
      </c>
      <c r="G214" s="672" t="s">
        <v>965</v>
      </c>
      <c r="H214">
        <v>999.99900000000002</v>
      </c>
      <c r="J214" s="1" t="s">
        <v>770</v>
      </c>
      <c r="K214">
        <v>108236675</v>
      </c>
      <c r="L214" s="2">
        <v>45919</v>
      </c>
      <c r="M214">
        <v>28</v>
      </c>
      <c r="N214">
        <v>1</v>
      </c>
      <c r="O214">
        <v>0</v>
      </c>
      <c r="P214">
        <v>1</v>
      </c>
      <c r="Q214" t="s">
        <v>7</v>
      </c>
    </row>
    <row r="215" spans="1:21">
      <c r="A215" t="s">
        <v>970</v>
      </c>
      <c r="B215" s="672" t="s">
        <v>965</v>
      </c>
      <c r="C215">
        <v>0</v>
      </c>
      <c r="E215" t="s">
        <v>995</v>
      </c>
      <c r="G215" s="672" t="s">
        <v>965</v>
      </c>
      <c r="H215">
        <v>999.99900000000002</v>
      </c>
      <c r="J215" s="1" t="s">
        <v>770</v>
      </c>
      <c r="K215">
        <v>105504040</v>
      </c>
      <c r="L215" s="2">
        <v>43256</v>
      </c>
      <c r="M215">
        <v>21</v>
      </c>
      <c r="N215">
        <v>1</v>
      </c>
      <c r="O215">
        <v>8</v>
      </c>
      <c r="P215">
        <v>1</v>
      </c>
      <c r="Q215" t="s">
        <v>3</v>
      </c>
    </row>
    <row r="216" spans="1:21">
      <c r="A216" t="s">
        <v>1021</v>
      </c>
      <c r="B216" s="672" t="s">
        <v>965</v>
      </c>
      <c r="C216">
        <v>5.0000000000000001E-3</v>
      </c>
      <c r="D216" t="s">
        <v>756</v>
      </c>
      <c r="E216" t="s">
        <v>1025</v>
      </c>
      <c r="F216" t="s">
        <v>1026</v>
      </c>
      <c r="G216" s="672" t="s">
        <v>965</v>
      </c>
      <c r="H216">
        <v>999.99900000000002</v>
      </c>
      <c r="J216" s="1" t="s">
        <v>770</v>
      </c>
      <c r="K216">
        <v>105007262</v>
      </c>
      <c r="L216" s="2">
        <v>42752</v>
      </c>
      <c r="M216">
        <v>1</v>
      </c>
      <c r="N216">
        <v>2</v>
      </c>
      <c r="O216">
        <v>8</v>
      </c>
      <c r="P216">
        <v>4</v>
      </c>
      <c r="Q216" t="s">
        <v>7</v>
      </c>
    </row>
    <row r="217" spans="1:21">
      <c r="A217" t="s">
        <v>1021</v>
      </c>
      <c r="B217" s="672" t="s">
        <v>965</v>
      </c>
      <c r="C217">
        <v>0</v>
      </c>
      <c r="E217" t="s">
        <v>1025</v>
      </c>
      <c r="F217" t="s">
        <v>1026</v>
      </c>
      <c r="G217" s="672" t="s">
        <v>965</v>
      </c>
      <c r="H217">
        <v>999.99900000000002</v>
      </c>
      <c r="J217" s="1" t="s">
        <v>770</v>
      </c>
      <c r="K217">
        <v>105806338</v>
      </c>
      <c r="L217" s="2">
        <v>43526</v>
      </c>
      <c r="M217">
        <v>1</v>
      </c>
      <c r="N217">
        <v>2</v>
      </c>
      <c r="O217">
        <v>0</v>
      </c>
      <c r="P217">
        <v>5</v>
      </c>
      <c r="Q217" t="s">
        <v>7</v>
      </c>
    </row>
    <row r="218" spans="1:21">
      <c r="A218" t="s">
        <v>1021</v>
      </c>
      <c r="B218" s="672" t="s">
        <v>965</v>
      </c>
      <c r="C218">
        <v>4.1000000000000002E-2</v>
      </c>
      <c r="D218" t="s">
        <v>756</v>
      </c>
      <c r="E218" t="s">
        <v>1025</v>
      </c>
      <c r="F218" t="s">
        <v>1026</v>
      </c>
      <c r="G218" s="672" t="s">
        <v>965</v>
      </c>
      <c r="H218">
        <v>999.99900000000002</v>
      </c>
      <c r="J218" s="1" t="s">
        <v>770</v>
      </c>
      <c r="K218">
        <v>108002306</v>
      </c>
      <c r="L218" s="2">
        <v>45684</v>
      </c>
      <c r="M218">
        <v>1</v>
      </c>
      <c r="N218">
        <v>2</v>
      </c>
      <c r="O218">
        <v>9</v>
      </c>
      <c r="P218">
        <v>4</v>
      </c>
      <c r="Q218" t="s">
        <v>7</v>
      </c>
    </row>
    <row r="219" spans="1:21">
      <c r="A219" t="s">
        <v>1021</v>
      </c>
      <c r="B219" s="672" t="s">
        <v>965</v>
      </c>
      <c r="C219">
        <v>0</v>
      </c>
      <c r="E219" t="s">
        <v>1067</v>
      </c>
      <c r="F219" s="675" t="s">
        <v>1020</v>
      </c>
      <c r="G219" s="672" t="s">
        <v>965</v>
      </c>
      <c r="H219">
        <v>999.99900000000002</v>
      </c>
      <c r="J219" s="1" t="s">
        <v>770</v>
      </c>
      <c r="K219">
        <v>106437209</v>
      </c>
      <c r="L219" s="2">
        <v>44177</v>
      </c>
      <c r="M219">
        <v>21</v>
      </c>
      <c r="N219">
        <v>1</v>
      </c>
      <c r="O219">
        <v>7</v>
      </c>
      <c r="P219">
        <v>4</v>
      </c>
      <c r="Q219" t="s">
        <v>7</v>
      </c>
    </row>
    <row r="220" spans="1:21">
      <c r="A220" t="s">
        <v>1021</v>
      </c>
      <c r="B220" s="672" t="s">
        <v>965</v>
      </c>
      <c r="C220">
        <v>0</v>
      </c>
      <c r="E220" t="s">
        <v>1067</v>
      </c>
      <c r="F220" s="675" t="s">
        <v>1020</v>
      </c>
      <c r="G220" s="672" t="s">
        <v>965</v>
      </c>
      <c r="H220">
        <v>999.99900000000002</v>
      </c>
      <c r="J220" s="1" t="s">
        <v>770</v>
      </c>
      <c r="K220">
        <v>106431907</v>
      </c>
      <c r="L220" s="2">
        <v>44152</v>
      </c>
      <c r="M220">
        <v>30</v>
      </c>
      <c r="N220">
        <v>1</v>
      </c>
      <c r="O220">
        <v>7</v>
      </c>
      <c r="P220">
        <v>1</v>
      </c>
      <c r="Q220" t="s">
        <v>7</v>
      </c>
    </row>
    <row r="221" spans="1:21">
      <c r="A221" t="s">
        <v>1021</v>
      </c>
      <c r="B221" s="672" t="s">
        <v>965</v>
      </c>
      <c r="C221">
        <v>0</v>
      </c>
      <c r="E221" t="s">
        <v>1067</v>
      </c>
      <c r="G221" s="672" t="s">
        <v>965</v>
      </c>
      <c r="H221">
        <v>999.99900000000002</v>
      </c>
      <c r="J221" s="1" t="s">
        <v>770</v>
      </c>
      <c r="K221">
        <v>107391646</v>
      </c>
      <c r="L221" s="2">
        <v>45117</v>
      </c>
      <c r="M221">
        <v>24</v>
      </c>
      <c r="N221">
        <v>1</v>
      </c>
      <c r="O221">
        <v>7</v>
      </c>
      <c r="P221">
        <v>1</v>
      </c>
      <c r="Q221" t="s">
        <v>7</v>
      </c>
    </row>
    <row r="222" spans="1:21">
      <c r="A222" t="s">
        <v>1021</v>
      </c>
      <c r="B222" s="672" t="s">
        <v>965</v>
      </c>
      <c r="C222">
        <v>0</v>
      </c>
      <c r="D222" t="s">
        <v>6</v>
      </c>
      <c r="E222" t="s">
        <v>1067</v>
      </c>
      <c r="G222" s="672" t="s">
        <v>965</v>
      </c>
      <c r="H222">
        <v>999.99900000000002</v>
      </c>
      <c r="J222" s="1" t="s">
        <v>770</v>
      </c>
      <c r="K222">
        <v>107288111</v>
      </c>
      <c r="L222" s="2">
        <v>45016</v>
      </c>
      <c r="M222">
        <v>30</v>
      </c>
      <c r="N222">
        <v>1</v>
      </c>
      <c r="O222">
        <v>7</v>
      </c>
      <c r="P222">
        <v>1</v>
      </c>
      <c r="Q222" t="s">
        <v>7</v>
      </c>
    </row>
    <row r="223" spans="1:21">
      <c r="A223" t="s">
        <v>1021</v>
      </c>
      <c r="B223" s="672" t="s">
        <v>965</v>
      </c>
      <c r="C223">
        <v>0</v>
      </c>
      <c r="E223" t="s">
        <v>1067</v>
      </c>
      <c r="G223" s="672" t="s">
        <v>965</v>
      </c>
      <c r="H223">
        <v>999.99900000000002</v>
      </c>
      <c r="J223" s="1" t="s">
        <v>770</v>
      </c>
      <c r="K223">
        <v>108017956</v>
      </c>
      <c r="L223" s="2">
        <v>45700</v>
      </c>
      <c r="M223">
        <v>30</v>
      </c>
      <c r="N223">
        <v>2</v>
      </c>
      <c r="O223">
        <v>7</v>
      </c>
      <c r="P223">
        <v>2</v>
      </c>
      <c r="Q223" t="s">
        <v>3</v>
      </c>
      <c r="U223" s="670"/>
    </row>
    <row r="224" spans="1:21">
      <c r="A224" t="s">
        <v>1021</v>
      </c>
      <c r="B224" s="672" t="s">
        <v>965</v>
      </c>
      <c r="C224">
        <v>1.9E-2</v>
      </c>
      <c r="D224" t="s">
        <v>756</v>
      </c>
      <c r="E224" s="672" t="s">
        <v>965</v>
      </c>
      <c r="F224" t="s">
        <v>1032</v>
      </c>
      <c r="G224" s="672" t="s">
        <v>965</v>
      </c>
      <c r="H224">
        <v>999.99900000000002</v>
      </c>
      <c r="J224" s="1" t="s">
        <v>770</v>
      </c>
      <c r="K224">
        <v>108202207</v>
      </c>
      <c r="L224" s="2">
        <v>45883</v>
      </c>
      <c r="M224">
        <v>21</v>
      </c>
      <c r="N224">
        <v>1</v>
      </c>
      <c r="O224">
        <v>0</v>
      </c>
      <c r="P224">
        <v>1</v>
      </c>
      <c r="Q224" t="s">
        <v>7</v>
      </c>
    </row>
    <row r="225" spans="1:21">
      <c r="A225" t="s">
        <v>1021</v>
      </c>
      <c r="B225" s="672" t="s">
        <v>965</v>
      </c>
      <c r="C225">
        <v>0</v>
      </c>
      <c r="E225" s="672" t="s">
        <v>965</v>
      </c>
      <c r="F225" s="675" t="s">
        <v>1023</v>
      </c>
      <c r="G225" s="672" t="s">
        <v>965</v>
      </c>
      <c r="H225">
        <v>999.99900000000002</v>
      </c>
      <c r="J225" s="1" t="s">
        <v>770</v>
      </c>
      <c r="K225">
        <v>108089486</v>
      </c>
      <c r="L225" s="2">
        <v>45772</v>
      </c>
      <c r="M225">
        <v>30</v>
      </c>
      <c r="N225">
        <v>1</v>
      </c>
      <c r="O225">
        <v>0</v>
      </c>
      <c r="P225">
        <v>1</v>
      </c>
      <c r="Q225" t="s">
        <v>3</v>
      </c>
    </row>
    <row r="226" spans="1:21">
      <c r="A226" t="s">
        <v>1021</v>
      </c>
      <c r="B226" s="672" t="s">
        <v>965</v>
      </c>
      <c r="C226">
        <v>4.9000000000000002E-2</v>
      </c>
      <c r="D226" t="s">
        <v>756</v>
      </c>
      <c r="E226" s="672" t="s">
        <v>965</v>
      </c>
      <c r="F226" t="s">
        <v>1097</v>
      </c>
      <c r="G226" s="672" t="s">
        <v>965</v>
      </c>
      <c r="H226">
        <v>999.99900000000002</v>
      </c>
      <c r="J226" s="1" t="s">
        <v>770</v>
      </c>
      <c r="K226">
        <v>105631297</v>
      </c>
      <c r="L226" s="2">
        <v>43355</v>
      </c>
      <c r="M226">
        <v>23</v>
      </c>
      <c r="N226">
        <v>1</v>
      </c>
      <c r="O226">
        <v>0</v>
      </c>
      <c r="P226">
        <v>1</v>
      </c>
      <c r="Q226" t="s">
        <v>7</v>
      </c>
    </row>
    <row r="227" spans="1:21">
      <c r="A227" t="s">
        <v>1021</v>
      </c>
      <c r="B227" s="672" t="s">
        <v>965</v>
      </c>
      <c r="C227">
        <v>0</v>
      </c>
      <c r="E227" s="672" t="s">
        <v>965</v>
      </c>
      <c r="F227" s="674" t="s">
        <v>968</v>
      </c>
      <c r="G227" s="672" t="s">
        <v>965</v>
      </c>
      <c r="H227">
        <v>999.99900000000002</v>
      </c>
      <c r="J227" s="1" t="s">
        <v>770</v>
      </c>
      <c r="K227">
        <v>107306995</v>
      </c>
      <c r="L227" s="2">
        <v>45033</v>
      </c>
      <c r="M227">
        <v>21</v>
      </c>
      <c r="N227">
        <v>1</v>
      </c>
      <c r="O227">
        <v>0</v>
      </c>
      <c r="P227">
        <v>1</v>
      </c>
      <c r="Q227" t="s">
        <v>7</v>
      </c>
      <c r="U227" s="670"/>
    </row>
    <row r="228" spans="1:21">
      <c r="A228" t="s">
        <v>1021</v>
      </c>
      <c r="B228" s="672" t="s">
        <v>965</v>
      </c>
      <c r="C228">
        <v>1.9E-2</v>
      </c>
      <c r="D228" t="s">
        <v>6</v>
      </c>
      <c r="E228" t="s">
        <v>1042</v>
      </c>
      <c r="F228" s="675" t="s">
        <v>1023</v>
      </c>
      <c r="G228" s="672" t="s">
        <v>965</v>
      </c>
      <c r="H228">
        <v>999.99900000000002</v>
      </c>
      <c r="J228" s="1" t="s">
        <v>770</v>
      </c>
      <c r="K228">
        <v>108287188</v>
      </c>
      <c r="L228" s="2">
        <v>45961</v>
      </c>
      <c r="M228">
        <v>30</v>
      </c>
      <c r="N228">
        <v>1</v>
      </c>
      <c r="O228">
        <v>0</v>
      </c>
      <c r="P228">
        <v>1</v>
      </c>
      <c r="Q228" t="s">
        <v>7</v>
      </c>
    </row>
    <row r="229" spans="1:21">
      <c r="A229" t="s">
        <v>1021</v>
      </c>
      <c r="B229" s="672" t="s">
        <v>965</v>
      </c>
      <c r="C229">
        <v>7.8E-2</v>
      </c>
      <c r="D229" t="s">
        <v>6</v>
      </c>
      <c r="E229" t="s">
        <v>1042</v>
      </c>
      <c r="F229" t="s">
        <v>1056</v>
      </c>
      <c r="G229" s="672" t="s">
        <v>965</v>
      </c>
      <c r="H229">
        <v>999.99900000000002</v>
      </c>
      <c r="J229" s="1" t="s">
        <v>770</v>
      </c>
      <c r="K229">
        <v>107107108</v>
      </c>
      <c r="L229" s="2">
        <v>44845</v>
      </c>
      <c r="M229">
        <v>24</v>
      </c>
      <c r="N229">
        <v>1</v>
      </c>
      <c r="O229">
        <v>12</v>
      </c>
      <c r="P229">
        <v>1</v>
      </c>
      <c r="Q229" t="s">
        <v>7</v>
      </c>
    </row>
    <row r="230" spans="1:21">
      <c r="A230" t="s">
        <v>1021</v>
      </c>
      <c r="B230" s="672" t="s">
        <v>965</v>
      </c>
      <c r="C230">
        <v>0</v>
      </c>
      <c r="E230" t="s">
        <v>1073</v>
      </c>
      <c r="F230" t="s">
        <v>1052</v>
      </c>
      <c r="G230" s="672" t="s">
        <v>965</v>
      </c>
      <c r="H230">
        <v>999.99900000000002</v>
      </c>
      <c r="J230" s="1" t="s">
        <v>770</v>
      </c>
      <c r="K230">
        <v>105240102</v>
      </c>
      <c r="L230" s="2">
        <v>43001</v>
      </c>
      <c r="M230">
        <v>30</v>
      </c>
      <c r="N230">
        <v>1</v>
      </c>
      <c r="O230">
        <v>7</v>
      </c>
      <c r="P230">
        <v>1</v>
      </c>
      <c r="Q230" t="s">
        <v>7</v>
      </c>
    </row>
    <row r="231" spans="1:21">
      <c r="A231" t="s">
        <v>1021</v>
      </c>
      <c r="B231" s="672" t="s">
        <v>965</v>
      </c>
      <c r="C231">
        <v>7.0000000000000007E-2</v>
      </c>
      <c r="D231" t="s">
        <v>756</v>
      </c>
      <c r="E231" t="s">
        <v>1104</v>
      </c>
      <c r="F231" s="675" t="s">
        <v>1023</v>
      </c>
      <c r="G231" s="672" t="s">
        <v>965</v>
      </c>
      <c r="H231">
        <v>999.99900000000002</v>
      </c>
      <c r="J231" s="1" t="s">
        <v>770</v>
      </c>
      <c r="K231">
        <v>107518898</v>
      </c>
      <c r="L231" s="2">
        <v>45238</v>
      </c>
      <c r="M231">
        <v>19</v>
      </c>
      <c r="N231">
        <v>1</v>
      </c>
      <c r="O231">
        <v>8</v>
      </c>
      <c r="P231">
        <v>5</v>
      </c>
      <c r="Q231" t="s">
        <v>7</v>
      </c>
    </row>
    <row r="232" spans="1:21">
      <c r="A232" t="s">
        <v>1021</v>
      </c>
      <c r="B232" t="s">
        <v>1042</v>
      </c>
      <c r="C232">
        <v>0</v>
      </c>
      <c r="D232" t="s">
        <v>757</v>
      </c>
      <c r="E232" s="672" t="s">
        <v>965</v>
      </c>
      <c r="F232" t="s">
        <v>1043</v>
      </c>
      <c r="G232" s="672" t="s">
        <v>965</v>
      </c>
      <c r="H232">
        <v>999.99900000000002</v>
      </c>
      <c r="J232" s="1" t="s">
        <v>770</v>
      </c>
      <c r="K232">
        <v>107245082</v>
      </c>
      <c r="L232" s="2">
        <v>44970</v>
      </c>
      <c r="M232">
        <v>30</v>
      </c>
      <c r="N232">
        <v>1</v>
      </c>
      <c r="O232">
        <v>0</v>
      </c>
      <c r="P232">
        <v>1</v>
      </c>
      <c r="Q232" t="s">
        <v>7</v>
      </c>
    </row>
    <row r="233" spans="1:21">
      <c r="A233" t="s">
        <v>1021</v>
      </c>
      <c r="B233" t="s">
        <v>1042</v>
      </c>
      <c r="C233">
        <v>0</v>
      </c>
      <c r="E233" s="672" t="s">
        <v>965</v>
      </c>
      <c r="F233" s="675" t="s">
        <v>1023</v>
      </c>
      <c r="G233" s="672" t="s">
        <v>965</v>
      </c>
      <c r="H233">
        <v>999.99900000000002</v>
      </c>
      <c r="J233" s="1" t="s">
        <v>770</v>
      </c>
      <c r="K233">
        <v>108310444</v>
      </c>
      <c r="L233" s="2">
        <v>45978</v>
      </c>
      <c r="M233">
        <v>30</v>
      </c>
      <c r="N233">
        <v>1</v>
      </c>
      <c r="O233">
        <v>8</v>
      </c>
      <c r="P233">
        <v>1</v>
      </c>
      <c r="Q233" t="s">
        <v>7</v>
      </c>
    </row>
    <row r="234" spans="1:21">
      <c r="A234" t="s">
        <v>1021</v>
      </c>
      <c r="B234" t="s">
        <v>1143</v>
      </c>
      <c r="C234">
        <v>0</v>
      </c>
      <c r="D234" t="s">
        <v>6</v>
      </c>
      <c r="E234" s="672" t="s">
        <v>965</v>
      </c>
      <c r="F234" s="675" t="s">
        <v>1023</v>
      </c>
      <c r="G234" s="672" t="s">
        <v>965</v>
      </c>
      <c r="H234">
        <v>999.99900000000002</v>
      </c>
      <c r="J234" s="1" t="s">
        <v>770</v>
      </c>
      <c r="K234">
        <v>106873684</v>
      </c>
      <c r="L234" s="2">
        <v>44619</v>
      </c>
      <c r="M234">
        <v>19</v>
      </c>
      <c r="N234">
        <v>2</v>
      </c>
      <c r="O234">
        <v>0</v>
      </c>
      <c r="P234">
        <v>1</v>
      </c>
      <c r="Q234" t="s">
        <v>7</v>
      </c>
    </row>
    <row r="235" spans="1:21">
      <c r="A235" t="s">
        <v>1021</v>
      </c>
      <c r="B235" s="674" t="s">
        <v>1075</v>
      </c>
      <c r="C235">
        <v>0</v>
      </c>
      <c r="E235" s="672" t="s">
        <v>965</v>
      </c>
      <c r="F235" s="673" t="s">
        <v>963</v>
      </c>
      <c r="G235" s="672" t="s">
        <v>965</v>
      </c>
      <c r="H235">
        <v>999.99900000000002</v>
      </c>
      <c r="J235" s="1" t="s">
        <v>770</v>
      </c>
      <c r="K235">
        <v>105240097</v>
      </c>
      <c r="L235" s="2">
        <v>43004</v>
      </c>
      <c r="M235">
        <v>21</v>
      </c>
      <c r="N235">
        <v>1</v>
      </c>
      <c r="O235">
        <v>7</v>
      </c>
      <c r="P235">
        <v>1</v>
      </c>
      <c r="Q235" t="s">
        <v>7</v>
      </c>
    </row>
    <row r="236" spans="1:21">
      <c r="A236" t="s">
        <v>1021</v>
      </c>
      <c r="B236" s="675" t="s">
        <v>966</v>
      </c>
      <c r="C236">
        <v>0</v>
      </c>
      <c r="E236" t="s">
        <v>1050</v>
      </c>
      <c r="F236" s="675" t="s">
        <v>966</v>
      </c>
      <c r="G236" t="s">
        <v>969</v>
      </c>
      <c r="H236">
        <v>1.75</v>
      </c>
      <c r="J236" s="1" t="s">
        <v>770</v>
      </c>
      <c r="K236">
        <v>107308067</v>
      </c>
      <c r="L236" s="2">
        <v>45035</v>
      </c>
      <c r="M236">
        <v>31</v>
      </c>
      <c r="N236">
        <v>1</v>
      </c>
      <c r="O236">
        <v>7</v>
      </c>
      <c r="P236">
        <v>1</v>
      </c>
      <c r="Q236" t="s">
        <v>7</v>
      </c>
      <c r="U236" s="670"/>
    </row>
    <row r="237" spans="1:21">
      <c r="A237" t="s">
        <v>1021</v>
      </c>
      <c r="B237" s="675" t="s">
        <v>966</v>
      </c>
      <c r="C237">
        <v>0</v>
      </c>
      <c r="E237" t="s">
        <v>1050</v>
      </c>
      <c r="F237" t="s">
        <v>1147</v>
      </c>
      <c r="G237" t="s">
        <v>969</v>
      </c>
      <c r="H237">
        <v>1.75</v>
      </c>
      <c r="J237" s="1" t="s">
        <v>770</v>
      </c>
      <c r="K237">
        <v>105792455</v>
      </c>
      <c r="L237" s="2">
        <v>43513</v>
      </c>
      <c r="M237">
        <v>21</v>
      </c>
      <c r="N237">
        <v>2</v>
      </c>
      <c r="O237">
        <v>7</v>
      </c>
      <c r="P237">
        <v>1</v>
      </c>
      <c r="Q237" t="s">
        <v>7</v>
      </c>
    </row>
    <row r="238" spans="1:21">
      <c r="A238" t="s">
        <v>1021</v>
      </c>
      <c r="B238" t="s">
        <v>1050</v>
      </c>
      <c r="C238">
        <v>0</v>
      </c>
      <c r="E238" s="675" t="s">
        <v>966</v>
      </c>
      <c r="F238" t="s">
        <v>1154</v>
      </c>
      <c r="G238" t="s">
        <v>969</v>
      </c>
      <c r="H238">
        <v>1.75</v>
      </c>
      <c r="J238" s="1" t="s">
        <v>770</v>
      </c>
      <c r="K238">
        <v>105233236</v>
      </c>
      <c r="L238" s="2">
        <v>42979</v>
      </c>
      <c r="M238">
        <v>30</v>
      </c>
      <c r="N238">
        <v>1</v>
      </c>
      <c r="O238">
        <v>7</v>
      </c>
      <c r="P238">
        <v>4</v>
      </c>
      <c r="Q238" t="s">
        <v>7</v>
      </c>
    </row>
    <row r="239" spans="1:21">
      <c r="A239" t="s">
        <v>1021</v>
      </c>
      <c r="B239" t="s">
        <v>969</v>
      </c>
      <c r="C239">
        <v>0</v>
      </c>
      <c r="E239" s="675" t="s">
        <v>966</v>
      </c>
      <c r="F239" t="s">
        <v>1154</v>
      </c>
      <c r="G239" t="s">
        <v>969</v>
      </c>
      <c r="H239">
        <v>1.75</v>
      </c>
      <c r="J239" s="1" t="s">
        <v>770</v>
      </c>
      <c r="K239">
        <v>106802260</v>
      </c>
      <c r="L239" s="2">
        <v>44467</v>
      </c>
      <c r="M239">
        <v>28</v>
      </c>
      <c r="N239">
        <v>1</v>
      </c>
      <c r="O239">
        <v>7</v>
      </c>
      <c r="P239">
        <v>1</v>
      </c>
      <c r="Q239" t="s">
        <v>7</v>
      </c>
    </row>
    <row r="240" spans="1:21">
      <c r="A240" t="s">
        <v>1021</v>
      </c>
      <c r="B240" t="s">
        <v>969</v>
      </c>
      <c r="C240">
        <v>0</v>
      </c>
      <c r="E240" s="675" t="s">
        <v>966</v>
      </c>
      <c r="F240" t="s">
        <v>1156</v>
      </c>
      <c r="G240" t="s">
        <v>969</v>
      </c>
      <c r="H240">
        <v>1.75</v>
      </c>
      <c r="J240" s="1" t="s">
        <v>770</v>
      </c>
      <c r="K240">
        <v>105463984</v>
      </c>
      <c r="L240" s="2">
        <v>43202</v>
      </c>
      <c r="M240">
        <v>26</v>
      </c>
      <c r="N240">
        <v>1</v>
      </c>
      <c r="O240">
        <v>7</v>
      </c>
      <c r="P240">
        <v>1</v>
      </c>
      <c r="Q240" t="s">
        <v>7</v>
      </c>
    </row>
    <row r="241" spans="1:21">
      <c r="A241" t="s">
        <v>1021</v>
      </c>
      <c r="B241" t="s">
        <v>1050</v>
      </c>
      <c r="C241">
        <v>8.9999999999999993E-3</v>
      </c>
      <c r="D241" t="s">
        <v>756</v>
      </c>
      <c r="E241" s="675" t="s">
        <v>966</v>
      </c>
      <c r="F241" t="s">
        <v>1051</v>
      </c>
      <c r="G241" t="s">
        <v>969</v>
      </c>
      <c r="H241">
        <v>1.7589999999999999</v>
      </c>
      <c r="J241" s="1" t="s">
        <v>770</v>
      </c>
      <c r="K241">
        <v>105755129</v>
      </c>
      <c r="L241" s="2">
        <v>43490</v>
      </c>
      <c r="M241">
        <v>17</v>
      </c>
      <c r="N241">
        <v>1</v>
      </c>
      <c r="O241">
        <v>0</v>
      </c>
      <c r="P241">
        <v>5</v>
      </c>
      <c r="Q241" t="s">
        <v>7</v>
      </c>
    </row>
    <row r="242" spans="1:21">
      <c r="A242" t="s">
        <v>970</v>
      </c>
      <c r="B242" t="s">
        <v>973</v>
      </c>
      <c r="C242">
        <v>2.8000000000000001E-2</v>
      </c>
      <c r="D242" t="s">
        <v>6</v>
      </c>
      <c r="E242" s="672" t="s">
        <v>965</v>
      </c>
      <c r="F242" t="s">
        <v>974</v>
      </c>
      <c r="G242" t="s">
        <v>973</v>
      </c>
      <c r="H242">
        <v>6.774</v>
      </c>
      <c r="J242" s="1" t="s">
        <v>770</v>
      </c>
      <c r="K242">
        <v>107805749</v>
      </c>
      <c r="L242" s="2">
        <v>45506</v>
      </c>
      <c r="M242">
        <v>21</v>
      </c>
      <c r="N242">
        <v>1</v>
      </c>
      <c r="O242">
        <v>8</v>
      </c>
      <c r="P242">
        <v>1</v>
      </c>
      <c r="Q242" t="s">
        <v>7</v>
      </c>
    </row>
    <row r="243" spans="1:21">
      <c r="A243" t="s">
        <v>970</v>
      </c>
      <c r="B243" t="s">
        <v>973</v>
      </c>
      <c r="C243">
        <v>1.9E-2</v>
      </c>
      <c r="D243" t="s">
        <v>6</v>
      </c>
      <c r="E243" s="672" t="s">
        <v>965</v>
      </c>
      <c r="F243" t="s">
        <v>971</v>
      </c>
      <c r="G243" t="s">
        <v>973</v>
      </c>
      <c r="H243">
        <v>6.7830000000000004</v>
      </c>
      <c r="J243" s="1" t="s">
        <v>770</v>
      </c>
      <c r="K243">
        <v>108597977</v>
      </c>
      <c r="L243" s="2">
        <v>46256</v>
      </c>
      <c r="M243">
        <v>21</v>
      </c>
      <c r="N243">
        <v>1</v>
      </c>
      <c r="O243">
        <v>7</v>
      </c>
      <c r="P243">
        <v>1</v>
      </c>
      <c r="Q243" t="s">
        <v>7</v>
      </c>
      <c r="U243" s="670"/>
    </row>
    <row r="244" spans="1:21">
      <c r="A244" t="s">
        <v>970</v>
      </c>
      <c r="B244" t="s">
        <v>973</v>
      </c>
      <c r="C244">
        <v>1.9E-2</v>
      </c>
      <c r="D244" t="s">
        <v>6</v>
      </c>
      <c r="E244" s="672" t="s">
        <v>965</v>
      </c>
      <c r="F244" t="s">
        <v>974</v>
      </c>
      <c r="G244" t="s">
        <v>973</v>
      </c>
      <c r="H244">
        <v>6.7830000000000004</v>
      </c>
      <c r="J244" s="1" t="s">
        <v>770</v>
      </c>
      <c r="K244">
        <v>106437818</v>
      </c>
      <c r="L244" s="2">
        <v>44175</v>
      </c>
      <c r="M244">
        <v>21</v>
      </c>
      <c r="N244">
        <v>1</v>
      </c>
      <c r="O244">
        <v>0</v>
      </c>
      <c r="P244">
        <v>1</v>
      </c>
      <c r="Q244" t="s">
        <v>7</v>
      </c>
    </row>
    <row r="245" spans="1:21">
      <c r="A245" t="s">
        <v>970</v>
      </c>
      <c r="B245" t="s">
        <v>973</v>
      </c>
      <c r="C245">
        <v>1.9E-2</v>
      </c>
      <c r="D245" t="s">
        <v>6</v>
      </c>
      <c r="E245" s="672" t="s">
        <v>965</v>
      </c>
      <c r="F245" t="s">
        <v>974</v>
      </c>
      <c r="G245" t="s">
        <v>973</v>
      </c>
      <c r="H245">
        <v>6.7830000000000004</v>
      </c>
      <c r="J245" s="1" t="s">
        <v>770</v>
      </c>
      <c r="K245">
        <v>107246029</v>
      </c>
      <c r="L245" s="2">
        <v>44971</v>
      </c>
      <c r="M245">
        <v>21</v>
      </c>
      <c r="N245">
        <v>1</v>
      </c>
      <c r="O245">
        <v>7</v>
      </c>
      <c r="P245">
        <v>1</v>
      </c>
      <c r="Q245" t="s">
        <v>7</v>
      </c>
      <c r="U245" s="670"/>
    </row>
    <row r="246" spans="1:21">
      <c r="A246" t="s">
        <v>970</v>
      </c>
      <c r="B246" t="s">
        <v>973</v>
      </c>
      <c r="C246">
        <v>1.4999999999999999E-2</v>
      </c>
      <c r="D246" t="s">
        <v>6</v>
      </c>
      <c r="E246" s="672" t="s">
        <v>965</v>
      </c>
      <c r="F246" t="s">
        <v>974</v>
      </c>
      <c r="G246" t="s">
        <v>973</v>
      </c>
      <c r="H246">
        <v>6.7869999999999999</v>
      </c>
      <c r="J246" s="1" t="s">
        <v>770</v>
      </c>
      <c r="K246">
        <v>105599836</v>
      </c>
      <c r="L246" s="2">
        <v>43354</v>
      </c>
      <c r="M246">
        <v>21</v>
      </c>
      <c r="N246">
        <v>1</v>
      </c>
      <c r="O246">
        <v>0</v>
      </c>
      <c r="P246">
        <v>1</v>
      </c>
      <c r="Q246" t="s">
        <v>7</v>
      </c>
    </row>
    <row r="247" spans="1:21">
      <c r="A247" t="s">
        <v>970</v>
      </c>
      <c r="B247" t="s">
        <v>973</v>
      </c>
      <c r="C247">
        <v>1.2999999999999999E-2</v>
      </c>
      <c r="D247" t="s">
        <v>6</v>
      </c>
      <c r="E247" s="672" t="s">
        <v>965</v>
      </c>
      <c r="F247" t="s">
        <v>974</v>
      </c>
      <c r="G247" t="s">
        <v>973</v>
      </c>
      <c r="H247">
        <v>6.7889999999999997</v>
      </c>
      <c r="J247" s="1" t="s">
        <v>770</v>
      </c>
      <c r="K247">
        <v>108208349</v>
      </c>
      <c r="L247" s="2">
        <v>45889</v>
      </c>
      <c r="M247">
        <v>21</v>
      </c>
      <c r="N247">
        <v>1</v>
      </c>
      <c r="O247">
        <v>7</v>
      </c>
      <c r="P247">
        <v>1</v>
      </c>
      <c r="Q247" t="s">
        <v>7</v>
      </c>
      <c r="U247" s="670"/>
    </row>
    <row r="248" spans="1:21">
      <c r="A248" t="s">
        <v>970</v>
      </c>
      <c r="B248" t="s">
        <v>973</v>
      </c>
      <c r="C248">
        <v>8.9999999999999993E-3</v>
      </c>
      <c r="D248" t="s">
        <v>6</v>
      </c>
      <c r="E248" s="672" t="s">
        <v>965</v>
      </c>
      <c r="F248" t="s">
        <v>974</v>
      </c>
      <c r="G248" t="s">
        <v>973</v>
      </c>
      <c r="H248">
        <v>6.7930000000000001</v>
      </c>
      <c r="J248" s="1" t="s">
        <v>770</v>
      </c>
      <c r="K248">
        <v>105416819</v>
      </c>
      <c r="L248" s="2">
        <v>43178</v>
      </c>
      <c r="M248">
        <v>21</v>
      </c>
      <c r="N248">
        <v>1</v>
      </c>
      <c r="O248">
        <v>0</v>
      </c>
      <c r="P248">
        <v>1</v>
      </c>
      <c r="Q248" t="s">
        <v>7</v>
      </c>
    </row>
    <row r="249" spans="1:21">
      <c r="A249" t="s">
        <v>970</v>
      </c>
      <c r="B249" t="s">
        <v>973</v>
      </c>
      <c r="C249">
        <v>8.9999999999999993E-3</v>
      </c>
      <c r="D249" t="s">
        <v>6</v>
      </c>
      <c r="E249" s="672" t="s">
        <v>965</v>
      </c>
      <c r="F249" t="s">
        <v>974</v>
      </c>
      <c r="G249" t="s">
        <v>973</v>
      </c>
      <c r="H249">
        <v>6.7930000000000001</v>
      </c>
      <c r="J249" s="1" t="s">
        <v>770</v>
      </c>
      <c r="K249">
        <v>106596777</v>
      </c>
      <c r="L249" s="2">
        <v>44355</v>
      </c>
      <c r="M249">
        <v>21</v>
      </c>
      <c r="N249">
        <v>1</v>
      </c>
      <c r="O249">
        <v>0</v>
      </c>
      <c r="P249">
        <v>1</v>
      </c>
      <c r="Q249" t="s">
        <v>7</v>
      </c>
    </row>
    <row r="250" spans="1:21">
      <c r="A250" t="s">
        <v>970</v>
      </c>
      <c r="B250" t="s">
        <v>973</v>
      </c>
      <c r="C250">
        <v>8.0000000000000002E-3</v>
      </c>
      <c r="D250" t="s">
        <v>6</v>
      </c>
      <c r="E250" s="672" t="s">
        <v>965</v>
      </c>
      <c r="F250" t="s">
        <v>974</v>
      </c>
      <c r="G250" t="s">
        <v>973</v>
      </c>
      <c r="H250">
        <v>6.7939999999999996</v>
      </c>
      <c r="J250" s="1" t="s">
        <v>770</v>
      </c>
      <c r="K250">
        <v>105306041</v>
      </c>
      <c r="L250" s="2">
        <v>43070</v>
      </c>
      <c r="M250">
        <v>21</v>
      </c>
      <c r="N250">
        <v>1</v>
      </c>
      <c r="O250">
        <v>0</v>
      </c>
      <c r="P250">
        <v>1</v>
      </c>
      <c r="Q250" t="s">
        <v>7</v>
      </c>
      <c r="U250" s="670"/>
    </row>
    <row r="251" spans="1:21">
      <c r="A251" t="s">
        <v>970</v>
      </c>
      <c r="B251" t="s">
        <v>973</v>
      </c>
      <c r="C251">
        <v>5.0000000000000001E-3</v>
      </c>
      <c r="D251" t="s">
        <v>6</v>
      </c>
      <c r="E251" s="672" t="s">
        <v>965</v>
      </c>
      <c r="F251" t="s">
        <v>974</v>
      </c>
      <c r="G251" t="s">
        <v>973</v>
      </c>
      <c r="H251">
        <v>6.7969999999999997</v>
      </c>
      <c r="J251" s="1" t="s">
        <v>770</v>
      </c>
      <c r="K251">
        <v>105288749</v>
      </c>
      <c r="L251" s="2">
        <v>43046</v>
      </c>
      <c r="M251">
        <v>21</v>
      </c>
      <c r="N251">
        <v>1</v>
      </c>
      <c r="O251">
        <v>0</v>
      </c>
      <c r="P251">
        <v>1</v>
      </c>
      <c r="Q251" t="s">
        <v>7</v>
      </c>
    </row>
    <row r="252" spans="1:21">
      <c r="A252" t="s">
        <v>970</v>
      </c>
      <c r="B252" t="s">
        <v>973</v>
      </c>
      <c r="C252">
        <v>5.0000000000000001E-3</v>
      </c>
      <c r="D252" t="s">
        <v>6</v>
      </c>
      <c r="E252" s="672" t="s">
        <v>965</v>
      </c>
      <c r="F252" t="s">
        <v>974</v>
      </c>
      <c r="G252" t="s">
        <v>973</v>
      </c>
      <c r="H252">
        <v>6.7969999999999997</v>
      </c>
      <c r="J252" s="1" t="s">
        <v>770</v>
      </c>
      <c r="K252">
        <v>108513387</v>
      </c>
      <c r="L252" s="2">
        <v>46171</v>
      </c>
      <c r="M252">
        <v>21</v>
      </c>
      <c r="N252">
        <v>1</v>
      </c>
      <c r="O252">
        <v>7</v>
      </c>
      <c r="P252">
        <v>1</v>
      </c>
      <c r="Q252" t="s">
        <v>7</v>
      </c>
      <c r="U252" s="670"/>
    </row>
    <row r="253" spans="1:21">
      <c r="A253" t="s">
        <v>970</v>
      </c>
      <c r="B253" t="s">
        <v>973</v>
      </c>
      <c r="C253">
        <v>2E-3</v>
      </c>
      <c r="D253" t="s">
        <v>6</v>
      </c>
      <c r="E253" s="672" t="s">
        <v>965</v>
      </c>
      <c r="F253" t="s">
        <v>969</v>
      </c>
      <c r="G253" t="s">
        <v>973</v>
      </c>
      <c r="H253">
        <v>6.8</v>
      </c>
      <c r="J253" s="1" t="s">
        <v>770</v>
      </c>
      <c r="K253">
        <v>105104140</v>
      </c>
      <c r="L253" s="2">
        <v>42874</v>
      </c>
      <c r="M253">
        <v>21</v>
      </c>
      <c r="N253">
        <v>1</v>
      </c>
      <c r="O253">
        <v>7</v>
      </c>
      <c r="P253">
        <v>1</v>
      </c>
      <c r="Q253" t="s">
        <v>3</v>
      </c>
    </row>
    <row r="254" spans="1:21">
      <c r="A254" t="s">
        <v>970</v>
      </c>
      <c r="B254" t="s">
        <v>973</v>
      </c>
      <c r="C254">
        <v>2E-3</v>
      </c>
      <c r="D254" t="s">
        <v>6</v>
      </c>
      <c r="E254" s="672" t="s">
        <v>965</v>
      </c>
      <c r="G254" t="s">
        <v>973</v>
      </c>
      <c r="H254">
        <v>6.8</v>
      </c>
      <c r="J254" s="1" t="s">
        <v>770</v>
      </c>
      <c r="K254">
        <v>105065784</v>
      </c>
      <c r="L254" s="2">
        <v>42835</v>
      </c>
      <c r="M254">
        <v>21</v>
      </c>
      <c r="N254">
        <v>1</v>
      </c>
      <c r="O254">
        <v>7</v>
      </c>
      <c r="P254">
        <v>1</v>
      </c>
      <c r="Q254" t="s">
        <v>7</v>
      </c>
      <c r="U254" s="670"/>
    </row>
    <row r="255" spans="1:21">
      <c r="A255" t="s">
        <v>970</v>
      </c>
      <c r="B255" t="s">
        <v>973</v>
      </c>
      <c r="C255">
        <v>2E-3</v>
      </c>
      <c r="D255" t="s">
        <v>756</v>
      </c>
      <c r="E255" s="672" t="s">
        <v>965</v>
      </c>
      <c r="G255" t="s">
        <v>973</v>
      </c>
      <c r="H255">
        <v>6.8</v>
      </c>
      <c r="J255" s="1" t="s">
        <v>770</v>
      </c>
      <c r="K255">
        <v>105530171</v>
      </c>
      <c r="L255" s="2">
        <v>43284</v>
      </c>
      <c r="M255">
        <v>28</v>
      </c>
      <c r="N255">
        <v>1</v>
      </c>
      <c r="O255">
        <v>7</v>
      </c>
      <c r="P255">
        <v>1</v>
      </c>
      <c r="Q255" t="s">
        <v>7</v>
      </c>
    </row>
    <row r="256" spans="1:21">
      <c r="A256" t="s">
        <v>970</v>
      </c>
      <c r="B256" t="s">
        <v>973</v>
      </c>
      <c r="C256">
        <v>0</v>
      </c>
      <c r="E256" s="672" t="s">
        <v>965</v>
      </c>
      <c r="F256" t="s">
        <v>1011</v>
      </c>
      <c r="G256" t="s">
        <v>973</v>
      </c>
      <c r="H256">
        <v>6.8019999999999996</v>
      </c>
      <c r="J256" s="1" t="s">
        <v>770</v>
      </c>
      <c r="K256">
        <v>108134559</v>
      </c>
      <c r="L256" s="2">
        <v>45815</v>
      </c>
      <c r="M256">
        <v>30</v>
      </c>
      <c r="N256">
        <v>1</v>
      </c>
      <c r="O256">
        <v>7</v>
      </c>
      <c r="P256">
        <v>1</v>
      </c>
      <c r="Q256" t="s">
        <v>7</v>
      </c>
    </row>
    <row r="257" spans="1:21">
      <c r="A257" t="s">
        <v>970</v>
      </c>
      <c r="B257" t="s">
        <v>973</v>
      </c>
      <c r="C257">
        <v>0</v>
      </c>
      <c r="E257" s="672" t="s">
        <v>965</v>
      </c>
      <c r="F257" t="s">
        <v>976</v>
      </c>
      <c r="G257" t="s">
        <v>973</v>
      </c>
      <c r="H257">
        <v>6.8019999999999996</v>
      </c>
      <c r="J257" s="671" t="s">
        <v>770</v>
      </c>
      <c r="K257">
        <v>107471708</v>
      </c>
      <c r="L257" s="2">
        <v>45197</v>
      </c>
      <c r="M257">
        <v>30</v>
      </c>
      <c r="N257">
        <v>1</v>
      </c>
      <c r="O257">
        <v>7</v>
      </c>
      <c r="P257">
        <v>1</v>
      </c>
      <c r="Q257" t="s">
        <v>3</v>
      </c>
      <c r="U257" s="670"/>
    </row>
    <row r="258" spans="1:21">
      <c r="A258" t="s">
        <v>970</v>
      </c>
      <c r="B258" t="s">
        <v>973</v>
      </c>
      <c r="C258">
        <v>0</v>
      </c>
      <c r="D258" t="s">
        <v>756</v>
      </c>
      <c r="E258" s="672" t="s">
        <v>965</v>
      </c>
      <c r="F258" s="672" t="s">
        <v>965</v>
      </c>
      <c r="G258" t="s">
        <v>973</v>
      </c>
      <c r="H258">
        <v>6.8019999999999996</v>
      </c>
      <c r="J258" s="1" t="s">
        <v>770</v>
      </c>
      <c r="K258">
        <v>105472013</v>
      </c>
      <c r="L258" s="2">
        <v>43228</v>
      </c>
      <c r="M258">
        <v>30</v>
      </c>
      <c r="N258">
        <v>1</v>
      </c>
      <c r="O258">
        <v>8</v>
      </c>
      <c r="P258">
        <v>1</v>
      </c>
      <c r="Q258" t="s">
        <v>7</v>
      </c>
    </row>
    <row r="259" spans="1:21">
      <c r="A259" t="s">
        <v>970</v>
      </c>
      <c r="B259" t="s">
        <v>973</v>
      </c>
      <c r="C259">
        <v>0</v>
      </c>
      <c r="E259" s="672" t="s">
        <v>965</v>
      </c>
      <c r="F259" t="s">
        <v>969</v>
      </c>
      <c r="G259" t="s">
        <v>973</v>
      </c>
      <c r="H259">
        <v>6.8019999999999996</v>
      </c>
      <c r="J259" s="1" t="s">
        <v>770</v>
      </c>
      <c r="K259">
        <v>105100516</v>
      </c>
      <c r="L259" s="2">
        <v>42871</v>
      </c>
      <c r="M259">
        <v>26</v>
      </c>
      <c r="N259">
        <v>1</v>
      </c>
      <c r="O259">
        <v>8</v>
      </c>
      <c r="P259">
        <v>1</v>
      </c>
      <c r="Q259" t="s">
        <v>7</v>
      </c>
    </row>
    <row r="260" spans="1:21">
      <c r="A260" t="s">
        <v>970</v>
      </c>
      <c r="B260" t="s">
        <v>973</v>
      </c>
      <c r="C260">
        <v>0</v>
      </c>
      <c r="E260" s="672" t="s">
        <v>965</v>
      </c>
      <c r="F260" t="s">
        <v>974</v>
      </c>
      <c r="G260" t="s">
        <v>973</v>
      </c>
      <c r="H260">
        <v>6.8019999999999996</v>
      </c>
      <c r="J260" s="1" t="s">
        <v>770</v>
      </c>
      <c r="K260">
        <v>108185378</v>
      </c>
      <c r="L260" s="2">
        <v>45866</v>
      </c>
      <c r="M260">
        <v>21</v>
      </c>
      <c r="N260">
        <v>1</v>
      </c>
      <c r="O260">
        <v>8</v>
      </c>
      <c r="P260">
        <v>1</v>
      </c>
      <c r="Q260" t="s">
        <v>7</v>
      </c>
    </row>
    <row r="261" spans="1:21">
      <c r="A261" t="s">
        <v>970</v>
      </c>
      <c r="B261" t="s">
        <v>973</v>
      </c>
      <c r="C261">
        <v>0</v>
      </c>
      <c r="E261" s="672" t="s">
        <v>965</v>
      </c>
      <c r="F261" t="s">
        <v>974</v>
      </c>
      <c r="G261" t="s">
        <v>973</v>
      </c>
      <c r="H261">
        <v>6.8019999999999996</v>
      </c>
      <c r="J261" s="1" t="s">
        <v>770</v>
      </c>
      <c r="K261">
        <v>107453797</v>
      </c>
      <c r="L261" s="2">
        <v>45180</v>
      </c>
      <c r="M261">
        <v>23</v>
      </c>
      <c r="N261">
        <v>1</v>
      </c>
      <c r="O261">
        <v>7</v>
      </c>
      <c r="P261">
        <v>5</v>
      </c>
      <c r="Q261" t="s">
        <v>3</v>
      </c>
      <c r="U261" s="670"/>
    </row>
    <row r="262" spans="1:21">
      <c r="A262" t="s">
        <v>970</v>
      </c>
      <c r="B262" t="s">
        <v>973</v>
      </c>
      <c r="C262">
        <v>0</v>
      </c>
      <c r="E262" s="672" t="s">
        <v>965</v>
      </c>
      <c r="G262" t="s">
        <v>973</v>
      </c>
      <c r="H262">
        <v>6.8019999999999996</v>
      </c>
      <c r="J262" s="1" t="s">
        <v>770</v>
      </c>
      <c r="K262">
        <v>105251652</v>
      </c>
      <c r="L262" s="2">
        <v>43021</v>
      </c>
      <c r="M262">
        <v>21</v>
      </c>
      <c r="N262">
        <v>1</v>
      </c>
      <c r="O262">
        <v>7</v>
      </c>
      <c r="P262">
        <v>1</v>
      </c>
      <c r="Q262" t="s">
        <v>7</v>
      </c>
    </row>
    <row r="263" spans="1:21">
      <c r="A263" t="s">
        <v>970</v>
      </c>
      <c r="B263" t="s">
        <v>973</v>
      </c>
      <c r="C263">
        <v>0</v>
      </c>
      <c r="E263" s="672" t="s">
        <v>965</v>
      </c>
      <c r="G263" t="s">
        <v>973</v>
      </c>
      <c r="H263">
        <v>6.8019999999999996</v>
      </c>
      <c r="J263" s="1" t="s">
        <v>770</v>
      </c>
      <c r="K263">
        <v>105812332</v>
      </c>
      <c r="L263" s="2">
        <v>43549</v>
      </c>
      <c r="M263">
        <v>21</v>
      </c>
      <c r="N263">
        <v>1</v>
      </c>
      <c r="O263">
        <v>7</v>
      </c>
      <c r="P263">
        <v>1</v>
      </c>
      <c r="Q263" t="s">
        <v>7</v>
      </c>
    </row>
    <row r="264" spans="1:21">
      <c r="A264" t="s">
        <v>970</v>
      </c>
      <c r="B264" t="s">
        <v>973</v>
      </c>
      <c r="C264">
        <v>0</v>
      </c>
      <c r="E264" s="672" t="s">
        <v>965</v>
      </c>
      <c r="G264" t="s">
        <v>973</v>
      </c>
      <c r="H264">
        <v>6.8019999999999996</v>
      </c>
      <c r="J264" s="1" t="s">
        <v>770</v>
      </c>
      <c r="K264">
        <v>105851751</v>
      </c>
      <c r="L264" s="2">
        <v>43589</v>
      </c>
      <c r="M264">
        <v>21</v>
      </c>
      <c r="N264">
        <v>1</v>
      </c>
      <c r="O264">
        <v>7</v>
      </c>
      <c r="P264">
        <v>1</v>
      </c>
      <c r="Q264" t="s">
        <v>7</v>
      </c>
    </row>
    <row r="265" spans="1:21">
      <c r="A265" t="s">
        <v>970</v>
      </c>
      <c r="B265" t="s">
        <v>973</v>
      </c>
      <c r="C265">
        <v>0</v>
      </c>
      <c r="E265" s="672" t="s">
        <v>965</v>
      </c>
      <c r="G265" t="s">
        <v>973</v>
      </c>
      <c r="H265">
        <v>6.8019999999999996</v>
      </c>
      <c r="J265" s="1" t="s">
        <v>770</v>
      </c>
      <c r="K265">
        <v>105927533</v>
      </c>
      <c r="L265" s="2">
        <v>43661</v>
      </c>
      <c r="M265">
        <v>21</v>
      </c>
      <c r="N265">
        <v>1</v>
      </c>
      <c r="O265">
        <v>7</v>
      </c>
      <c r="P265">
        <v>1</v>
      </c>
      <c r="Q265" t="s">
        <v>7</v>
      </c>
    </row>
    <row r="266" spans="1:21">
      <c r="A266" t="s">
        <v>970</v>
      </c>
      <c r="B266" t="s">
        <v>973</v>
      </c>
      <c r="C266">
        <v>0</v>
      </c>
      <c r="E266" s="672" t="s">
        <v>965</v>
      </c>
      <c r="G266" t="s">
        <v>973</v>
      </c>
      <c r="H266">
        <v>6.8019999999999996</v>
      </c>
      <c r="J266" s="1" t="s">
        <v>770</v>
      </c>
      <c r="K266">
        <v>106750298</v>
      </c>
      <c r="L266" s="2">
        <v>44501</v>
      </c>
      <c r="M266">
        <v>21</v>
      </c>
      <c r="N266">
        <v>1</v>
      </c>
      <c r="O266">
        <v>7</v>
      </c>
      <c r="P266">
        <v>1</v>
      </c>
      <c r="Q266" t="s">
        <v>7</v>
      </c>
    </row>
    <row r="267" spans="1:21">
      <c r="A267" t="s">
        <v>970</v>
      </c>
      <c r="B267" t="s">
        <v>973</v>
      </c>
      <c r="C267">
        <v>0</v>
      </c>
      <c r="E267" s="672" t="s">
        <v>965</v>
      </c>
      <c r="G267" t="s">
        <v>973</v>
      </c>
      <c r="H267">
        <v>6.8019999999999996</v>
      </c>
      <c r="J267" s="1" t="s">
        <v>770</v>
      </c>
      <c r="K267">
        <v>108528080</v>
      </c>
      <c r="L267" s="2">
        <v>46185</v>
      </c>
      <c r="M267">
        <v>23</v>
      </c>
      <c r="N267">
        <v>1</v>
      </c>
      <c r="O267">
        <v>7</v>
      </c>
      <c r="P267">
        <v>1</v>
      </c>
      <c r="Q267" t="s">
        <v>3</v>
      </c>
    </row>
    <row r="268" spans="1:21">
      <c r="A268" t="s">
        <v>970</v>
      </c>
      <c r="B268" t="s">
        <v>973</v>
      </c>
      <c r="C268">
        <v>0</v>
      </c>
      <c r="E268" s="672" t="s">
        <v>965</v>
      </c>
      <c r="G268" t="s">
        <v>973</v>
      </c>
      <c r="H268">
        <v>6.8019999999999996</v>
      </c>
      <c r="J268" s="1" t="s">
        <v>770</v>
      </c>
      <c r="K268">
        <v>106547772</v>
      </c>
      <c r="L268" s="2">
        <v>44302</v>
      </c>
      <c r="M268">
        <v>30</v>
      </c>
      <c r="N268">
        <v>1</v>
      </c>
      <c r="O268">
        <v>7</v>
      </c>
      <c r="P268">
        <v>4</v>
      </c>
      <c r="Q268" t="s">
        <v>7</v>
      </c>
    </row>
    <row r="269" spans="1:21">
      <c r="A269" t="s">
        <v>970</v>
      </c>
      <c r="B269" t="s">
        <v>973</v>
      </c>
      <c r="C269">
        <v>0</v>
      </c>
      <c r="E269" s="672" t="s">
        <v>965</v>
      </c>
      <c r="G269" t="s">
        <v>973</v>
      </c>
      <c r="H269">
        <v>6.8019999999999996</v>
      </c>
      <c r="J269" s="1" t="s">
        <v>770</v>
      </c>
      <c r="K269">
        <v>106888816</v>
      </c>
      <c r="L269" s="2">
        <v>44632</v>
      </c>
      <c r="M269">
        <v>30</v>
      </c>
      <c r="N269">
        <v>1</v>
      </c>
      <c r="O269">
        <v>7</v>
      </c>
      <c r="P269">
        <v>1</v>
      </c>
      <c r="Q269" t="s">
        <v>7</v>
      </c>
    </row>
    <row r="270" spans="1:21">
      <c r="A270" t="s">
        <v>970</v>
      </c>
      <c r="B270" t="s">
        <v>973</v>
      </c>
      <c r="C270">
        <v>0</v>
      </c>
      <c r="E270" s="672" t="s">
        <v>965</v>
      </c>
      <c r="G270" t="s">
        <v>973</v>
      </c>
      <c r="H270">
        <v>6.8019999999999996</v>
      </c>
      <c r="J270" s="1" t="s">
        <v>770</v>
      </c>
      <c r="K270">
        <v>108064946</v>
      </c>
      <c r="L270" s="2">
        <v>45747</v>
      </c>
      <c r="M270">
        <v>30</v>
      </c>
      <c r="N270">
        <v>1</v>
      </c>
      <c r="O270">
        <v>7</v>
      </c>
      <c r="P270">
        <v>1</v>
      </c>
      <c r="Q270" t="s">
        <v>7</v>
      </c>
    </row>
    <row r="271" spans="1:21">
      <c r="A271" t="s">
        <v>970</v>
      </c>
      <c r="B271" t="s">
        <v>973</v>
      </c>
      <c r="C271">
        <v>4.0000000000000001E-3</v>
      </c>
      <c r="D271" t="s">
        <v>757</v>
      </c>
      <c r="E271" s="672" t="s">
        <v>965</v>
      </c>
      <c r="F271" t="s">
        <v>974</v>
      </c>
      <c r="G271" t="s">
        <v>973</v>
      </c>
      <c r="H271">
        <v>6.806</v>
      </c>
      <c r="J271" s="1" t="s">
        <v>770</v>
      </c>
      <c r="K271">
        <v>105713667</v>
      </c>
      <c r="L271" s="2">
        <v>43450</v>
      </c>
      <c r="M271">
        <v>31</v>
      </c>
      <c r="N271">
        <v>1</v>
      </c>
      <c r="O271">
        <v>7</v>
      </c>
      <c r="P271">
        <v>1</v>
      </c>
      <c r="Q271" t="s">
        <v>7</v>
      </c>
    </row>
    <row r="272" spans="1:21">
      <c r="A272" t="s">
        <v>970</v>
      </c>
      <c r="B272" t="s">
        <v>973</v>
      </c>
      <c r="C272">
        <v>8.9999999999999993E-3</v>
      </c>
      <c r="D272" t="s">
        <v>757</v>
      </c>
      <c r="E272" s="672" t="s">
        <v>965</v>
      </c>
      <c r="F272" t="s">
        <v>974</v>
      </c>
      <c r="G272" t="s">
        <v>973</v>
      </c>
      <c r="H272">
        <v>6.8109999999999999</v>
      </c>
      <c r="J272" s="1" t="s">
        <v>770</v>
      </c>
      <c r="K272">
        <v>105328522</v>
      </c>
      <c r="L272" s="2">
        <v>43089</v>
      </c>
      <c r="M272">
        <v>21</v>
      </c>
      <c r="N272">
        <v>2</v>
      </c>
      <c r="O272">
        <v>7</v>
      </c>
      <c r="P272">
        <v>1</v>
      </c>
      <c r="Q272" t="s">
        <v>3</v>
      </c>
    </row>
    <row r="273" spans="1:17">
      <c r="A273" t="s">
        <v>970</v>
      </c>
      <c r="B273" t="s">
        <v>973</v>
      </c>
      <c r="C273">
        <v>1.4E-2</v>
      </c>
      <c r="D273" t="s">
        <v>757</v>
      </c>
      <c r="E273" s="672" t="s">
        <v>965</v>
      </c>
      <c r="F273" t="s">
        <v>988</v>
      </c>
      <c r="G273" t="s">
        <v>973</v>
      </c>
      <c r="H273">
        <v>6.8159999999999998</v>
      </c>
      <c r="J273" s="1" t="s">
        <v>770</v>
      </c>
      <c r="K273">
        <v>105240776</v>
      </c>
      <c r="L273" s="2">
        <v>43014</v>
      </c>
      <c r="M273">
        <v>21</v>
      </c>
      <c r="N273">
        <v>1</v>
      </c>
      <c r="O273">
        <v>0</v>
      </c>
      <c r="P273">
        <v>1</v>
      </c>
      <c r="Q273" t="s">
        <v>7</v>
      </c>
    </row>
    <row r="274" spans="1:17">
      <c r="A274" t="s">
        <v>970</v>
      </c>
      <c r="B274" t="s">
        <v>973</v>
      </c>
      <c r="C274">
        <v>1.4999999999999999E-2</v>
      </c>
      <c r="D274" t="s">
        <v>757</v>
      </c>
      <c r="E274" s="672" t="s">
        <v>965</v>
      </c>
      <c r="F274" t="s">
        <v>997</v>
      </c>
      <c r="G274" t="s">
        <v>973</v>
      </c>
      <c r="H274">
        <v>6.8170000000000002</v>
      </c>
      <c r="J274" s="1" t="s">
        <v>770</v>
      </c>
      <c r="K274">
        <v>106087835</v>
      </c>
      <c r="L274" s="2">
        <v>43798</v>
      </c>
      <c r="M274">
        <v>21</v>
      </c>
      <c r="N274">
        <v>1</v>
      </c>
      <c r="O274">
        <v>0</v>
      </c>
      <c r="P274">
        <v>1</v>
      </c>
      <c r="Q274" t="s">
        <v>7</v>
      </c>
    </row>
    <row r="275" spans="1:17">
      <c r="A275" t="s">
        <v>970</v>
      </c>
      <c r="B275" t="s">
        <v>973</v>
      </c>
      <c r="C275">
        <v>1.6E-2</v>
      </c>
      <c r="D275" t="s">
        <v>757</v>
      </c>
      <c r="E275" s="672" t="s">
        <v>965</v>
      </c>
      <c r="F275" t="s">
        <v>969</v>
      </c>
      <c r="G275" t="s">
        <v>973</v>
      </c>
      <c r="H275">
        <v>6.8179999999999996</v>
      </c>
      <c r="J275" s="1" t="s">
        <v>770</v>
      </c>
      <c r="K275">
        <v>105169259</v>
      </c>
      <c r="L275" s="2">
        <v>42934</v>
      </c>
      <c r="M275">
        <v>21</v>
      </c>
      <c r="N275">
        <v>1</v>
      </c>
      <c r="O275">
        <v>0</v>
      </c>
      <c r="P275">
        <v>1</v>
      </c>
      <c r="Q275" t="s">
        <v>8</v>
      </c>
    </row>
    <row r="276" spans="1:17">
      <c r="A276" t="s">
        <v>970</v>
      </c>
      <c r="B276" t="s">
        <v>973</v>
      </c>
      <c r="C276">
        <v>1.9E-2</v>
      </c>
      <c r="D276" t="s">
        <v>757</v>
      </c>
      <c r="E276" s="672" t="s">
        <v>965</v>
      </c>
      <c r="F276" t="s">
        <v>969</v>
      </c>
      <c r="G276" t="s">
        <v>973</v>
      </c>
      <c r="H276">
        <v>6.8209999999999997</v>
      </c>
      <c r="J276" s="1" t="s">
        <v>770</v>
      </c>
      <c r="K276">
        <v>107761990</v>
      </c>
      <c r="L276" s="2">
        <v>45463</v>
      </c>
      <c r="M276">
        <v>31</v>
      </c>
      <c r="N276">
        <v>1</v>
      </c>
      <c r="O276">
        <v>0</v>
      </c>
      <c r="P276">
        <v>1</v>
      </c>
      <c r="Q276" t="s">
        <v>7</v>
      </c>
    </row>
    <row r="277" spans="1:17">
      <c r="A277" t="s">
        <v>970</v>
      </c>
      <c r="B277" t="s">
        <v>973</v>
      </c>
      <c r="C277">
        <v>1.9E-2</v>
      </c>
      <c r="D277" t="s">
        <v>757</v>
      </c>
      <c r="E277" s="672" t="s">
        <v>965</v>
      </c>
      <c r="F277" t="s">
        <v>974</v>
      </c>
      <c r="G277" t="s">
        <v>973</v>
      </c>
      <c r="H277">
        <v>6.8209999999999997</v>
      </c>
      <c r="J277" s="1" t="s">
        <v>770</v>
      </c>
      <c r="K277">
        <v>107817333</v>
      </c>
      <c r="L277" s="2">
        <v>45517</v>
      </c>
      <c r="M277">
        <v>21</v>
      </c>
      <c r="N277">
        <v>1</v>
      </c>
      <c r="O277">
        <v>0</v>
      </c>
      <c r="P277">
        <v>1</v>
      </c>
      <c r="Q277" t="s">
        <v>7</v>
      </c>
    </row>
    <row r="278" spans="1:17">
      <c r="A278" t="s">
        <v>970</v>
      </c>
      <c r="B278" s="672" t="s">
        <v>965</v>
      </c>
      <c r="C278">
        <v>0</v>
      </c>
      <c r="E278" t="s">
        <v>973</v>
      </c>
      <c r="F278" t="s">
        <v>1011</v>
      </c>
      <c r="G278" s="672" t="s">
        <v>962</v>
      </c>
      <c r="H278">
        <v>0</v>
      </c>
      <c r="J278" s="1" t="s">
        <v>770</v>
      </c>
      <c r="K278">
        <v>107787982</v>
      </c>
      <c r="L278" s="2">
        <v>45488</v>
      </c>
      <c r="M278">
        <v>30</v>
      </c>
      <c r="N278">
        <v>1</v>
      </c>
      <c r="O278">
        <v>7</v>
      </c>
      <c r="P278">
        <v>1</v>
      </c>
      <c r="Q278" t="s">
        <v>7</v>
      </c>
    </row>
    <row r="279" spans="1:17">
      <c r="A279" t="s">
        <v>970</v>
      </c>
      <c r="B279" s="672" t="s">
        <v>965</v>
      </c>
      <c r="C279">
        <v>4.2000000000000003E-2</v>
      </c>
      <c r="D279" t="s">
        <v>758</v>
      </c>
      <c r="E279" t="s">
        <v>973</v>
      </c>
      <c r="F279" t="s">
        <v>976</v>
      </c>
      <c r="G279" s="672" t="s">
        <v>962</v>
      </c>
      <c r="H279">
        <v>0</v>
      </c>
      <c r="J279" s="1" t="s">
        <v>770</v>
      </c>
      <c r="K279">
        <v>107482671</v>
      </c>
      <c r="L279" s="2">
        <v>45203</v>
      </c>
      <c r="M279">
        <v>21</v>
      </c>
      <c r="N279">
        <v>1</v>
      </c>
      <c r="O279">
        <v>0</v>
      </c>
      <c r="P279">
        <v>1</v>
      </c>
      <c r="Q279" t="s">
        <v>3</v>
      </c>
    </row>
    <row r="280" spans="1:17">
      <c r="A280" t="s">
        <v>970</v>
      </c>
      <c r="B280" s="672" t="s">
        <v>965</v>
      </c>
      <c r="C280">
        <v>6.0000000000000001E-3</v>
      </c>
      <c r="D280" t="s">
        <v>758</v>
      </c>
      <c r="E280" t="s">
        <v>973</v>
      </c>
      <c r="F280" t="s">
        <v>976</v>
      </c>
      <c r="G280" s="672" t="s">
        <v>962</v>
      </c>
      <c r="H280">
        <v>0</v>
      </c>
      <c r="J280" s="1" t="s">
        <v>770</v>
      </c>
      <c r="K280">
        <v>106422367</v>
      </c>
      <c r="L280" s="2">
        <v>44166</v>
      </c>
      <c r="M280">
        <v>32</v>
      </c>
      <c r="N280">
        <v>1</v>
      </c>
      <c r="O280">
        <v>7</v>
      </c>
      <c r="P280">
        <v>1</v>
      </c>
      <c r="Q280" t="s">
        <v>7</v>
      </c>
    </row>
    <row r="281" spans="1:17">
      <c r="A281" t="s">
        <v>970</v>
      </c>
      <c r="B281" s="672" t="s">
        <v>965</v>
      </c>
      <c r="C281">
        <v>0</v>
      </c>
      <c r="E281" t="s">
        <v>973</v>
      </c>
      <c r="F281" t="s">
        <v>990</v>
      </c>
      <c r="G281" s="672" t="s">
        <v>962</v>
      </c>
      <c r="H281">
        <v>0</v>
      </c>
      <c r="J281" s="1" t="s">
        <v>770</v>
      </c>
      <c r="K281">
        <v>105580820</v>
      </c>
      <c r="L281" s="2">
        <v>43336</v>
      </c>
      <c r="M281">
        <v>24</v>
      </c>
      <c r="N281">
        <v>1</v>
      </c>
      <c r="O281">
        <v>7</v>
      </c>
      <c r="P281">
        <v>2</v>
      </c>
      <c r="Q281" t="s">
        <v>7</v>
      </c>
    </row>
    <row r="282" spans="1:17">
      <c r="A282" t="s">
        <v>970</v>
      </c>
      <c r="B282" s="672" t="s">
        <v>965</v>
      </c>
      <c r="C282">
        <v>0</v>
      </c>
      <c r="E282" t="s">
        <v>973</v>
      </c>
      <c r="F282" t="s">
        <v>1010</v>
      </c>
      <c r="G282" s="672" t="s">
        <v>962</v>
      </c>
      <c r="H282">
        <v>0</v>
      </c>
      <c r="J282" s="1" t="s">
        <v>770</v>
      </c>
      <c r="K282">
        <v>107366351</v>
      </c>
      <c r="L282" s="2">
        <v>45091</v>
      </c>
      <c r="M282">
        <v>31</v>
      </c>
      <c r="N282">
        <v>1</v>
      </c>
      <c r="O282">
        <v>22</v>
      </c>
      <c r="P282">
        <v>1</v>
      </c>
      <c r="Q282" t="s">
        <v>7</v>
      </c>
    </row>
    <row r="283" spans="1:17">
      <c r="A283" t="s">
        <v>970</v>
      </c>
      <c r="B283" s="672" t="s">
        <v>965</v>
      </c>
      <c r="C283">
        <v>1.9E-2</v>
      </c>
      <c r="D283" t="s">
        <v>758</v>
      </c>
      <c r="E283" t="s">
        <v>973</v>
      </c>
      <c r="G283" s="672" t="s">
        <v>962</v>
      </c>
      <c r="H283">
        <v>0</v>
      </c>
      <c r="J283" s="1" t="s">
        <v>770</v>
      </c>
      <c r="K283">
        <v>105212509</v>
      </c>
      <c r="L283" s="2">
        <v>42983</v>
      </c>
      <c r="M283">
        <v>1</v>
      </c>
      <c r="N283">
        <v>2</v>
      </c>
      <c r="O283">
        <v>12</v>
      </c>
      <c r="P283">
        <v>4</v>
      </c>
      <c r="Q283" t="s">
        <v>8</v>
      </c>
    </row>
    <row r="284" spans="1:17">
      <c r="A284" t="s">
        <v>970</v>
      </c>
      <c r="B284" s="672" t="s">
        <v>965</v>
      </c>
      <c r="C284">
        <v>0</v>
      </c>
      <c r="E284" t="s">
        <v>973</v>
      </c>
      <c r="G284" s="672" t="s">
        <v>962</v>
      </c>
      <c r="H284">
        <v>0</v>
      </c>
      <c r="J284" s="1" t="s">
        <v>770</v>
      </c>
      <c r="K284">
        <v>106592483</v>
      </c>
      <c r="L284" s="2">
        <v>44350</v>
      </c>
      <c r="M284">
        <v>21</v>
      </c>
      <c r="N284">
        <v>2</v>
      </c>
      <c r="O284">
        <v>8</v>
      </c>
      <c r="P284">
        <v>1</v>
      </c>
      <c r="Q284" t="s">
        <v>7</v>
      </c>
    </row>
    <row r="285" spans="1:17">
      <c r="A285" t="s">
        <v>970</v>
      </c>
      <c r="B285" s="672" t="s">
        <v>965</v>
      </c>
      <c r="C285">
        <v>5.0000000000000001E-3</v>
      </c>
      <c r="D285" t="s">
        <v>756</v>
      </c>
      <c r="E285" t="s">
        <v>973</v>
      </c>
      <c r="F285" t="s">
        <v>976</v>
      </c>
      <c r="G285" s="672" t="s">
        <v>962</v>
      </c>
      <c r="H285">
        <v>5.0000000000000001E-3</v>
      </c>
      <c r="J285" s="1" t="s">
        <v>770</v>
      </c>
      <c r="K285">
        <v>108468535</v>
      </c>
      <c r="L285" s="2">
        <v>46129</v>
      </c>
      <c r="M285">
        <v>21</v>
      </c>
      <c r="N285">
        <v>1</v>
      </c>
      <c r="O285">
        <v>7</v>
      </c>
      <c r="P285">
        <v>1</v>
      </c>
      <c r="Q285" t="s">
        <v>7</v>
      </c>
    </row>
    <row r="286" spans="1:17">
      <c r="A286" t="s">
        <v>970</v>
      </c>
      <c r="B286" s="672" t="s">
        <v>965</v>
      </c>
      <c r="C286">
        <v>8.9999999999999993E-3</v>
      </c>
      <c r="D286" t="s">
        <v>756</v>
      </c>
      <c r="E286" t="s">
        <v>973</v>
      </c>
      <c r="F286" t="s">
        <v>976</v>
      </c>
      <c r="G286" s="672" t="s">
        <v>962</v>
      </c>
      <c r="H286">
        <v>8.9999999999999993E-3</v>
      </c>
      <c r="J286" s="1" t="s">
        <v>770</v>
      </c>
      <c r="K286">
        <v>108275163</v>
      </c>
      <c r="L286" s="2">
        <v>45953</v>
      </c>
      <c r="M286">
        <v>21</v>
      </c>
      <c r="N286">
        <v>1</v>
      </c>
      <c r="O286">
        <v>7</v>
      </c>
      <c r="P286">
        <v>1</v>
      </c>
      <c r="Q286" t="s">
        <v>7</v>
      </c>
    </row>
    <row r="287" spans="1:17">
      <c r="A287" t="s">
        <v>970</v>
      </c>
      <c r="B287" s="672" t="s">
        <v>965</v>
      </c>
      <c r="C287">
        <v>0.01</v>
      </c>
      <c r="D287" t="s">
        <v>756</v>
      </c>
      <c r="E287" t="s">
        <v>973</v>
      </c>
      <c r="F287" t="s">
        <v>976</v>
      </c>
      <c r="G287" s="672" t="s">
        <v>962</v>
      </c>
      <c r="H287">
        <v>0.01</v>
      </c>
      <c r="J287" s="1" t="s">
        <v>770</v>
      </c>
      <c r="K287">
        <v>105888449</v>
      </c>
      <c r="L287" s="2">
        <v>43560</v>
      </c>
      <c r="M287">
        <v>21</v>
      </c>
      <c r="N287">
        <v>2</v>
      </c>
      <c r="O287">
        <v>0</v>
      </c>
      <c r="P287">
        <v>1</v>
      </c>
      <c r="Q287" t="s">
        <v>3</v>
      </c>
    </row>
    <row r="288" spans="1:17">
      <c r="A288" t="s">
        <v>970</v>
      </c>
      <c r="B288" s="672" t="s">
        <v>965</v>
      </c>
      <c r="C288">
        <v>1.4E-2</v>
      </c>
      <c r="D288" t="s">
        <v>756</v>
      </c>
      <c r="E288" t="s">
        <v>973</v>
      </c>
      <c r="F288" t="s">
        <v>976</v>
      </c>
      <c r="G288" s="672" t="s">
        <v>962</v>
      </c>
      <c r="H288">
        <v>1.4E-2</v>
      </c>
      <c r="J288" s="1" t="s">
        <v>770</v>
      </c>
      <c r="K288">
        <v>105390828</v>
      </c>
      <c r="L288" s="2">
        <v>43154</v>
      </c>
      <c r="M288">
        <v>21</v>
      </c>
      <c r="N288">
        <v>1</v>
      </c>
      <c r="P288">
        <v>1</v>
      </c>
      <c r="Q288" t="s">
        <v>3</v>
      </c>
    </row>
    <row r="289" spans="1:17">
      <c r="A289" t="s">
        <v>970</v>
      </c>
      <c r="B289" s="672" t="s">
        <v>965</v>
      </c>
      <c r="C289">
        <v>1.9E-2</v>
      </c>
      <c r="D289" t="s">
        <v>756</v>
      </c>
      <c r="E289" t="s">
        <v>973</v>
      </c>
      <c r="F289" t="s">
        <v>976</v>
      </c>
      <c r="G289" s="672" t="s">
        <v>962</v>
      </c>
      <c r="H289">
        <v>1.9E-2</v>
      </c>
      <c r="J289" s="1" t="s">
        <v>770</v>
      </c>
      <c r="K289">
        <v>104939553</v>
      </c>
      <c r="L289" s="2">
        <v>42711</v>
      </c>
      <c r="M289">
        <v>30</v>
      </c>
      <c r="N289">
        <v>1</v>
      </c>
      <c r="O289">
        <v>0</v>
      </c>
      <c r="P289">
        <v>1</v>
      </c>
      <c r="Q289" t="s">
        <v>7</v>
      </c>
    </row>
    <row r="290" spans="1:17">
      <c r="A290" t="s">
        <v>970</v>
      </c>
      <c r="B290" s="672" t="s">
        <v>965</v>
      </c>
      <c r="C290">
        <v>2.8000000000000001E-2</v>
      </c>
      <c r="D290" t="s">
        <v>756</v>
      </c>
      <c r="E290" t="s">
        <v>973</v>
      </c>
      <c r="F290" t="s">
        <v>976</v>
      </c>
      <c r="G290" s="672" t="s">
        <v>962</v>
      </c>
      <c r="H290">
        <v>2.8000000000000001E-2</v>
      </c>
      <c r="J290" s="1" t="s">
        <v>770</v>
      </c>
      <c r="K290">
        <v>105944937</v>
      </c>
      <c r="L290" s="2">
        <v>43678</v>
      </c>
      <c r="M290">
        <v>30</v>
      </c>
      <c r="N290">
        <v>1</v>
      </c>
      <c r="O290">
        <v>0</v>
      </c>
      <c r="P290">
        <v>1</v>
      </c>
      <c r="Q290" t="s">
        <v>7</v>
      </c>
    </row>
    <row r="291" spans="1:17">
      <c r="A291" t="s">
        <v>970</v>
      </c>
      <c r="B291" s="672" t="s">
        <v>965</v>
      </c>
      <c r="C291">
        <v>3.7999999999999999E-2</v>
      </c>
      <c r="D291" t="s">
        <v>756</v>
      </c>
      <c r="E291" t="s">
        <v>973</v>
      </c>
      <c r="F291" t="s">
        <v>976</v>
      </c>
      <c r="G291" s="672" t="s">
        <v>962</v>
      </c>
      <c r="H291">
        <v>3.7999999999999999E-2</v>
      </c>
      <c r="J291" s="1" t="s">
        <v>770</v>
      </c>
      <c r="K291">
        <v>105744513</v>
      </c>
      <c r="L291" s="2">
        <v>43481</v>
      </c>
      <c r="M291">
        <v>21</v>
      </c>
      <c r="N291">
        <v>1</v>
      </c>
      <c r="O291">
        <v>0</v>
      </c>
      <c r="P291">
        <v>1</v>
      </c>
      <c r="Q291" t="s">
        <v>7</v>
      </c>
    </row>
    <row r="292" spans="1:17">
      <c r="A292" t="s">
        <v>970</v>
      </c>
      <c r="B292" s="672" t="s">
        <v>965</v>
      </c>
      <c r="C292">
        <v>3.7999999999999999E-2</v>
      </c>
      <c r="D292" t="s">
        <v>756</v>
      </c>
      <c r="E292" t="s">
        <v>973</v>
      </c>
      <c r="F292" t="s">
        <v>976</v>
      </c>
      <c r="G292" s="672" t="s">
        <v>962</v>
      </c>
      <c r="H292">
        <v>3.7999999999999999E-2</v>
      </c>
      <c r="J292" s="1" t="s">
        <v>770</v>
      </c>
      <c r="K292">
        <v>106614425</v>
      </c>
      <c r="L292" s="2">
        <v>44376</v>
      </c>
      <c r="M292">
        <v>21</v>
      </c>
      <c r="N292">
        <v>1</v>
      </c>
      <c r="O292">
        <v>0</v>
      </c>
      <c r="P292">
        <v>1</v>
      </c>
      <c r="Q292" t="s">
        <v>7</v>
      </c>
    </row>
    <row r="293" spans="1:17">
      <c r="A293" t="s">
        <v>970</v>
      </c>
      <c r="B293" s="672" t="s">
        <v>965</v>
      </c>
      <c r="C293">
        <v>0.55000000000000004</v>
      </c>
      <c r="D293" t="s">
        <v>765</v>
      </c>
      <c r="E293" t="s">
        <v>976</v>
      </c>
      <c r="F293" t="s">
        <v>973</v>
      </c>
      <c r="G293" s="672" t="s">
        <v>962</v>
      </c>
      <c r="H293">
        <v>4.1000000000000002E-2</v>
      </c>
      <c r="J293" s="1" t="s">
        <v>770</v>
      </c>
      <c r="K293">
        <v>107693400</v>
      </c>
      <c r="L293" s="2">
        <v>45399</v>
      </c>
      <c r="M293">
        <v>21</v>
      </c>
      <c r="N293">
        <v>1</v>
      </c>
      <c r="O293">
        <v>0</v>
      </c>
      <c r="P293">
        <v>1</v>
      </c>
      <c r="Q293" t="s">
        <v>7</v>
      </c>
    </row>
    <row r="294" spans="1:17">
      <c r="A294" t="s">
        <v>970</v>
      </c>
      <c r="B294" s="672" t="s">
        <v>965</v>
      </c>
      <c r="C294">
        <v>1</v>
      </c>
      <c r="D294" t="s">
        <v>758</v>
      </c>
      <c r="E294" t="s">
        <v>971</v>
      </c>
      <c r="F294" t="s">
        <v>973</v>
      </c>
      <c r="G294" s="672" t="s">
        <v>962</v>
      </c>
      <c r="H294">
        <v>4.1000000000000002E-2</v>
      </c>
      <c r="J294" s="1" t="s">
        <v>770</v>
      </c>
      <c r="K294">
        <v>108185380</v>
      </c>
      <c r="L294" s="2">
        <v>45866</v>
      </c>
      <c r="M294">
        <v>21</v>
      </c>
      <c r="N294">
        <v>1</v>
      </c>
      <c r="O294">
        <v>7</v>
      </c>
      <c r="P294">
        <v>1</v>
      </c>
      <c r="Q294" t="s">
        <v>7</v>
      </c>
    </row>
    <row r="295" spans="1:17">
      <c r="A295" t="s">
        <v>970</v>
      </c>
      <c r="B295" s="672" t="s">
        <v>965</v>
      </c>
      <c r="C295">
        <v>4.7E-2</v>
      </c>
      <c r="D295" t="s">
        <v>756</v>
      </c>
      <c r="E295" t="s">
        <v>973</v>
      </c>
      <c r="F295" t="s">
        <v>976</v>
      </c>
      <c r="G295" s="672" t="s">
        <v>962</v>
      </c>
      <c r="H295">
        <v>4.7E-2</v>
      </c>
      <c r="J295" s="1" t="s">
        <v>770</v>
      </c>
      <c r="K295">
        <v>107712454</v>
      </c>
      <c r="L295" s="2">
        <v>45420</v>
      </c>
      <c r="M295">
        <v>24</v>
      </c>
      <c r="N295">
        <v>2</v>
      </c>
      <c r="O295">
        <v>4</v>
      </c>
      <c r="P295">
        <v>1</v>
      </c>
      <c r="Q295" t="s">
        <v>7</v>
      </c>
    </row>
    <row r="296" spans="1:17">
      <c r="A296" t="s">
        <v>970</v>
      </c>
      <c r="B296" s="672" t="s">
        <v>965</v>
      </c>
      <c r="C296">
        <v>0.05</v>
      </c>
      <c r="D296" t="s">
        <v>762</v>
      </c>
      <c r="E296" t="s">
        <v>973</v>
      </c>
      <c r="F296" t="s">
        <v>976</v>
      </c>
      <c r="G296" s="672" t="s">
        <v>962</v>
      </c>
      <c r="H296">
        <v>0.05</v>
      </c>
      <c r="J296" s="1" t="s">
        <v>770</v>
      </c>
      <c r="K296">
        <v>107693399</v>
      </c>
      <c r="L296" s="2">
        <v>45399</v>
      </c>
      <c r="M296">
        <v>21</v>
      </c>
      <c r="N296">
        <v>1</v>
      </c>
      <c r="O296">
        <v>0</v>
      </c>
      <c r="P296">
        <v>1</v>
      </c>
      <c r="Q296" t="s">
        <v>3</v>
      </c>
    </row>
    <row r="297" spans="1:17">
      <c r="A297" t="s">
        <v>970</v>
      </c>
      <c r="B297" s="672" t="s">
        <v>965</v>
      </c>
      <c r="C297">
        <v>0.05</v>
      </c>
      <c r="D297" t="s">
        <v>756</v>
      </c>
      <c r="E297" t="s">
        <v>973</v>
      </c>
      <c r="F297" t="s">
        <v>1008</v>
      </c>
      <c r="G297" s="672" t="s">
        <v>962</v>
      </c>
      <c r="H297">
        <v>0.05</v>
      </c>
      <c r="J297" s="1" t="s">
        <v>770</v>
      </c>
      <c r="K297">
        <v>107361950</v>
      </c>
      <c r="L297" s="2">
        <v>45088</v>
      </c>
      <c r="M297">
        <v>19</v>
      </c>
      <c r="N297">
        <v>1</v>
      </c>
      <c r="O297">
        <v>0</v>
      </c>
      <c r="P297">
        <v>1</v>
      </c>
      <c r="Q297" t="s">
        <v>7</v>
      </c>
    </row>
    <row r="298" spans="1:17">
      <c r="A298" t="s">
        <v>970</v>
      </c>
      <c r="B298" s="672" t="s">
        <v>965</v>
      </c>
      <c r="C298">
        <v>5.7000000000000002E-2</v>
      </c>
      <c r="D298" t="s">
        <v>756</v>
      </c>
      <c r="E298" t="s">
        <v>973</v>
      </c>
      <c r="F298" t="s">
        <v>976</v>
      </c>
      <c r="G298" s="672" t="s">
        <v>962</v>
      </c>
      <c r="H298">
        <v>5.7000000000000002E-2</v>
      </c>
      <c r="J298" s="1" t="s">
        <v>770</v>
      </c>
      <c r="K298">
        <v>106267434</v>
      </c>
      <c r="L298" s="2">
        <v>44015</v>
      </c>
      <c r="M298">
        <v>21</v>
      </c>
      <c r="N298">
        <v>1</v>
      </c>
      <c r="O298">
        <v>0</v>
      </c>
      <c r="P298">
        <v>1</v>
      </c>
      <c r="Q298" t="s">
        <v>7</v>
      </c>
    </row>
    <row r="299" spans="1:17">
      <c r="A299" t="s">
        <v>970</v>
      </c>
      <c r="B299" s="672" t="s">
        <v>965</v>
      </c>
      <c r="C299">
        <v>5.7000000000000002E-2</v>
      </c>
      <c r="D299" t="s">
        <v>756</v>
      </c>
      <c r="E299" t="s">
        <v>973</v>
      </c>
      <c r="F299" t="s">
        <v>976</v>
      </c>
      <c r="G299" s="672" t="s">
        <v>962</v>
      </c>
      <c r="H299">
        <v>5.7000000000000002E-2</v>
      </c>
      <c r="J299" s="1" t="s">
        <v>770</v>
      </c>
      <c r="K299">
        <v>105877329</v>
      </c>
      <c r="L299" s="2">
        <v>43608</v>
      </c>
      <c r="M299">
        <v>30</v>
      </c>
      <c r="N299">
        <v>1</v>
      </c>
      <c r="O299">
        <v>0</v>
      </c>
      <c r="P299">
        <v>1</v>
      </c>
      <c r="Q299" t="s">
        <v>9</v>
      </c>
    </row>
    <row r="300" spans="1:17">
      <c r="A300" t="s">
        <v>970</v>
      </c>
      <c r="B300" s="672" t="s">
        <v>965</v>
      </c>
      <c r="C300">
        <v>5.8999999999999997E-2</v>
      </c>
      <c r="D300" t="s">
        <v>762</v>
      </c>
      <c r="E300" t="s">
        <v>973</v>
      </c>
      <c r="F300" t="s">
        <v>976</v>
      </c>
      <c r="G300" s="672" t="s">
        <v>962</v>
      </c>
      <c r="H300">
        <v>5.8999999999999997E-2</v>
      </c>
      <c r="J300" s="1" t="s">
        <v>770</v>
      </c>
      <c r="K300">
        <v>107191838</v>
      </c>
      <c r="L300" s="2">
        <v>44917</v>
      </c>
      <c r="M300">
        <v>21</v>
      </c>
      <c r="N300">
        <v>2</v>
      </c>
      <c r="O300">
        <v>0</v>
      </c>
      <c r="P300">
        <v>1</v>
      </c>
      <c r="Q300" t="s">
        <v>7</v>
      </c>
    </row>
    <row r="301" spans="1:17">
      <c r="A301" t="s">
        <v>970</v>
      </c>
      <c r="B301" s="672" t="s">
        <v>965</v>
      </c>
      <c r="C301">
        <v>0.53</v>
      </c>
      <c r="D301" t="s">
        <v>758</v>
      </c>
      <c r="E301" t="s">
        <v>976</v>
      </c>
      <c r="F301" t="s">
        <v>973</v>
      </c>
      <c r="G301" s="672" t="s">
        <v>962</v>
      </c>
      <c r="H301">
        <v>6.0999999999999999E-2</v>
      </c>
      <c r="J301" s="1" t="s">
        <v>770</v>
      </c>
      <c r="K301">
        <v>108185383</v>
      </c>
      <c r="L301" s="2">
        <v>45867</v>
      </c>
      <c r="M301">
        <v>28</v>
      </c>
      <c r="N301">
        <v>1</v>
      </c>
      <c r="O301">
        <v>0</v>
      </c>
      <c r="P301">
        <v>1</v>
      </c>
      <c r="Q301" t="s">
        <v>7</v>
      </c>
    </row>
    <row r="302" spans="1:17">
      <c r="A302" t="s">
        <v>970</v>
      </c>
      <c r="B302" s="672" t="s">
        <v>965</v>
      </c>
      <c r="C302">
        <v>0.5</v>
      </c>
      <c r="D302" t="s">
        <v>765</v>
      </c>
      <c r="E302" t="s">
        <v>976</v>
      </c>
      <c r="F302" t="s">
        <v>973</v>
      </c>
      <c r="G302" s="672" t="s">
        <v>962</v>
      </c>
      <c r="H302">
        <v>9.0999999999999998E-2</v>
      </c>
      <c r="J302" s="1" t="s">
        <v>770</v>
      </c>
      <c r="K302">
        <v>107025838</v>
      </c>
      <c r="L302" s="2">
        <v>44767</v>
      </c>
      <c r="M302">
        <v>21</v>
      </c>
      <c r="N302">
        <v>1</v>
      </c>
      <c r="O302">
        <v>0</v>
      </c>
      <c r="P302">
        <v>1</v>
      </c>
      <c r="Q302" t="s">
        <v>7</v>
      </c>
    </row>
    <row r="303" spans="1:17">
      <c r="A303" t="s">
        <v>970</v>
      </c>
      <c r="B303" s="672" t="s">
        <v>965</v>
      </c>
      <c r="C303">
        <v>9.4E-2</v>
      </c>
      <c r="D303" t="s">
        <v>756</v>
      </c>
      <c r="E303" t="s">
        <v>973</v>
      </c>
      <c r="F303" t="s">
        <v>976</v>
      </c>
      <c r="G303" s="672" t="s">
        <v>962</v>
      </c>
      <c r="H303">
        <v>9.4E-2</v>
      </c>
      <c r="J303" s="1" t="s">
        <v>770</v>
      </c>
      <c r="K303">
        <v>105764038</v>
      </c>
      <c r="L303" s="2">
        <v>43492</v>
      </c>
      <c r="M303">
        <v>21</v>
      </c>
      <c r="N303">
        <v>1</v>
      </c>
      <c r="O303">
        <v>0</v>
      </c>
      <c r="P303">
        <v>1</v>
      </c>
      <c r="Q303" t="s">
        <v>3</v>
      </c>
    </row>
    <row r="304" spans="1:17">
      <c r="A304" t="s">
        <v>970</v>
      </c>
      <c r="B304" s="672" t="s">
        <v>965</v>
      </c>
      <c r="C304">
        <v>0.1</v>
      </c>
      <c r="D304" t="s">
        <v>756</v>
      </c>
      <c r="E304" t="s">
        <v>973</v>
      </c>
      <c r="F304" t="s">
        <v>976</v>
      </c>
      <c r="G304" s="672" t="s">
        <v>962</v>
      </c>
      <c r="H304">
        <v>0.1</v>
      </c>
      <c r="J304" s="1" t="s">
        <v>770</v>
      </c>
      <c r="K304">
        <v>107090136</v>
      </c>
      <c r="L304" s="2">
        <v>44829</v>
      </c>
      <c r="M304">
        <v>1</v>
      </c>
      <c r="N304">
        <v>1</v>
      </c>
      <c r="O304">
        <v>0</v>
      </c>
      <c r="P304">
        <v>5</v>
      </c>
      <c r="Q304" t="s">
        <v>7</v>
      </c>
    </row>
    <row r="305" spans="1:17">
      <c r="A305" t="s">
        <v>970</v>
      </c>
      <c r="B305" s="672" t="s">
        <v>965</v>
      </c>
      <c r="C305">
        <v>0.47</v>
      </c>
      <c r="D305" t="s">
        <v>758</v>
      </c>
      <c r="E305" t="s">
        <v>976</v>
      </c>
      <c r="F305" t="s">
        <v>973</v>
      </c>
      <c r="G305" s="672" t="s">
        <v>962</v>
      </c>
      <c r="H305">
        <v>0.121</v>
      </c>
      <c r="J305" s="1" t="s">
        <v>770</v>
      </c>
      <c r="K305">
        <v>107564934</v>
      </c>
      <c r="L305" s="2">
        <v>45273</v>
      </c>
      <c r="M305">
        <v>21</v>
      </c>
      <c r="N305">
        <v>1</v>
      </c>
      <c r="O305">
        <v>0</v>
      </c>
      <c r="P305">
        <v>2</v>
      </c>
      <c r="Q305" t="s">
        <v>7</v>
      </c>
    </row>
    <row r="306" spans="1:17">
      <c r="A306" t="s">
        <v>970</v>
      </c>
      <c r="B306" s="672" t="s">
        <v>965</v>
      </c>
      <c r="C306">
        <v>0.16</v>
      </c>
      <c r="D306" t="s">
        <v>756</v>
      </c>
      <c r="E306" t="s">
        <v>973</v>
      </c>
      <c r="F306" t="s">
        <v>976</v>
      </c>
      <c r="G306" s="672" t="s">
        <v>962</v>
      </c>
      <c r="H306">
        <v>0.16</v>
      </c>
      <c r="J306" s="1" t="s">
        <v>770</v>
      </c>
      <c r="K306">
        <v>106594773</v>
      </c>
      <c r="L306" s="2">
        <v>44352</v>
      </c>
      <c r="M306">
        <v>1</v>
      </c>
      <c r="N306">
        <v>1</v>
      </c>
      <c r="O306">
        <v>0</v>
      </c>
      <c r="P306">
        <v>5</v>
      </c>
      <c r="Q306" t="s">
        <v>8</v>
      </c>
    </row>
    <row r="307" spans="1:17">
      <c r="A307" t="s">
        <v>970</v>
      </c>
      <c r="B307" s="672" t="s">
        <v>965</v>
      </c>
      <c r="C307">
        <v>0.18</v>
      </c>
      <c r="D307" t="s">
        <v>756</v>
      </c>
      <c r="E307" t="s">
        <v>973</v>
      </c>
      <c r="F307" t="s">
        <v>976</v>
      </c>
      <c r="G307" s="672" t="s">
        <v>962</v>
      </c>
      <c r="H307">
        <v>0.18</v>
      </c>
      <c r="J307" s="1" t="s">
        <v>770</v>
      </c>
      <c r="K307">
        <v>107465196</v>
      </c>
      <c r="L307" s="2">
        <v>45189</v>
      </c>
      <c r="M307">
        <v>1</v>
      </c>
      <c r="N307">
        <v>1</v>
      </c>
      <c r="O307">
        <v>0</v>
      </c>
      <c r="P307">
        <v>1</v>
      </c>
      <c r="Q307" t="s">
        <v>7</v>
      </c>
    </row>
    <row r="308" spans="1:17">
      <c r="A308" t="s">
        <v>970</v>
      </c>
      <c r="B308" s="672" t="s">
        <v>965</v>
      </c>
      <c r="C308">
        <v>0.41</v>
      </c>
      <c r="D308" t="s">
        <v>758</v>
      </c>
      <c r="E308" t="s">
        <v>976</v>
      </c>
      <c r="F308" t="s">
        <v>973</v>
      </c>
      <c r="G308" s="672" t="s">
        <v>962</v>
      </c>
      <c r="H308">
        <v>0.18099999999999999</v>
      </c>
      <c r="J308" s="1" t="s">
        <v>770</v>
      </c>
      <c r="K308">
        <v>105728397</v>
      </c>
      <c r="L308" s="2">
        <v>43467</v>
      </c>
      <c r="M308">
        <v>19</v>
      </c>
      <c r="N308">
        <v>1</v>
      </c>
      <c r="O308">
        <v>0</v>
      </c>
      <c r="P308">
        <v>1</v>
      </c>
      <c r="Q308" t="s">
        <v>7</v>
      </c>
    </row>
    <row r="309" spans="1:17">
      <c r="A309" t="s">
        <v>970</v>
      </c>
      <c r="B309" s="672" t="s">
        <v>965</v>
      </c>
      <c r="C309">
        <v>0.19</v>
      </c>
      <c r="D309" t="s">
        <v>756</v>
      </c>
      <c r="E309" t="s">
        <v>973</v>
      </c>
      <c r="F309" t="s">
        <v>976</v>
      </c>
      <c r="G309" s="672" t="s">
        <v>962</v>
      </c>
      <c r="H309">
        <v>0.19</v>
      </c>
      <c r="J309" s="1" t="s">
        <v>770</v>
      </c>
      <c r="K309">
        <v>106957894</v>
      </c>
      <c r="L309" s="2">
        <v>44698</v>
      </c>
      <c r="M309">
        <v>21</v>
      </c>
      <c r="N309">
        <v>1</v>
      </c>
      <c r="O309">
        <v>0</v>
      </c>
      <c r="P309">
        <v>1</v>
      </c>
      <c r="Q309" t="s">
        <v>3</v>
      </c>
    </row>
    <row r="310" spans="1:17">
      <c r="A310" t="s">
        <v>970</v>
      </c>
      <c r="B310" s="672" t="s">
        <v>965</v>
      </c>
      <c r="C310">
        <v>0.2</v>
      </c>
      <c r="D310" t="s">
        <v>762</v>
      </c>
      <c r="E310" t="s">
        <v>973</v>
      </c>
      <c r="F310" t="s">
        <v>976</v>
      </c>
      <c r="G310" s="672" t="s">
        <v>962</v>
      </c>
      <c r="H310">
        <v>0.2</v>
      </c>
      <c r="J310" s="1" t="s">
        <v>770</v>
      </c>
      <c r="K310">
        <v>107277046</v>
      </c>
      <c r="L310" s="2">
        <v>45002</v>
      </c>
      <c r="M310">
        <v>1</v>
      </c>
      <c r="N310">
        <v>1</v>
      </c>
      <c r="O310">
        <v>0</v>
      </c>
      <c r="P310">
        <v>1</v>
      </c>
      <c r="Q310" t="s">
        <v>7</v>
      </c>
    </row>
    <row r="311" spans="1:17">
      <c r="A311" t="s">
        <v>970</v>
      </c>
      <c r="B311" s="672" t="s">
        <v>965</v>
      </c>
      <c r="C311">
        <v>0.22</v>
      </c>
      <c r="D311" t="s">
        <v>756</v>
      </c>
      <c r="E311" t="s">
        <v>973</v>
      </c>
      <c r="F311" t="s">
        <v>976</v>
      </c>
      <c r="G311" s="672" t="s">
        <v>962</v>
      </c>
      <c r="H311">
        <v>0.22</v>
      </c>
      <c r="J311" s="1" t="s">
        <v>770</v>
      </c>
      <c r="K311">
        <v>107430799</v>
      </c>
      <c r="L311" s="2">
        <v>45158</v>
      </c>
      <c r="M311">
        <v>21</v>
      </c>
      <c r="N311">
        <v>1</v>
      </c>
      <c r="O311">
        <v>0</v>
      </c>
      <c r="P311">
        <v>1</v>
      </c>
      <c r="Q311" t="s">
        <v>7</v>
      </c>
    </row>
    <row r="312" spans="1:17">
      <c r="A312" t="s">
        <v>970</v>
      </c>
      <c r="B312" s="672" t="s">
        <v>965</v>
      </c>
      <c r="C312">
        <v>0.23</v>
      </c>
      <c r="D312" t="s">
        <v>756</v>
      </c>
      <c r="E312" t="s">
        <v>973</v>
      </c>
      <c r="F312" t="s">
        <v>976</v>
      </c>
      <c r="G312" s="672" t="s">
        <v>962</v>
      </c>
      <c r="H312">
        <v>0.23</v>
      </c>
      <c r="J312" s="1" t="s">
        <v>770</v>
      </c>
      <c r="K312">
        <v>106634974</v>
      </c>
      <c r="L312" s="2">
        <v>44397</v>
      </c>
      <c r="M312">
        <v>21</v>
      </c>
      <c r="N312">
        <v>1</v>
      </c>
      <c r="O312">
        <v>25</v>
      </c>
      <c r="P312">
        <v>1</v>
      </c>
      <c r="Q312" t="s">
        <v>8</v>
      </c>
    </row>
    <row r="313" spans="1:17">
      <c r="A313" t="s">
        <v>970</v>
      </c>
      <c r="B313" s="672" t="s">
        <v>965</v>
      </c>
      <c r="C313">
        <v>0.25</v>
      </c>
      <c r="D313" t="s">
        <v>756</v>
      </c>
      <c r="E313" t="s">
        <v>973</v>
      </c>
      <c r="F313" t="s">
        <v>976</v>
      </c>
      <c r="G313" s="672" t="s">
        <v>962</v>
      </c>
      <c r="H313">
        <v>0.25</v>
      </c>
      <c r="J313" s="1" t="s">
        <v>770</v>
      </c>
      <c r="K313">
        <v>106628710</v>
      </c>
      <c r="L313" s="2">
        <v>44390</v>
      </c>
      <c r="M313">
        <v>21</v>
      </c>
      <c r="N313">
        <v>1</v>
      </c>
      <c r="O313">
        <v>0</v>
      </c>
      <c r="P313">
        <v>1</v>
      </c>
      <c r="Q313" t="s">
        <v>7</v>
      </c>
    </row>
    <row r="314" spans="1:17">
      <c r="A314" t="s">
        <v>970</v>
      </c>
      <c r="B314" s="672" t="s">
        <v>965</v>
      </c>
      <c r="C314">
        <v>0.32</v>
      </c>
      <c r="D314" t="s">
        <v>758</v>
      </c>
      <c r="E314" t="s">
        <v>976</v>
      </c>
      <c r="F314" t="s">
        <v>973</v>
      </c>
      <c r="G314" s="672" t="s">
        <v>962</v>
      </c>
      <c r="H314">
        <v>0.27100000000000002</v>
      </c>
      <c r="J314" s="1" t="s">
        <v>770</v>
      </c>
      <c r="K314">
        <v>107344317</v>
      </c>
      <c r="L314" s="2">
        <v>45068</v>
      </c>
      <c r="M314">
        <v>21</v>
      </c>
      <c r="N314">
        <v>1</v>
      </c>
      <c r="O314">
        <v>0</v>
      </c>
      <c r="P314">
        <v>1</v>
      </c>
      <c r="Q314" t="s">
        <v>3</v>
      </c>
    </row>
    <row r="315" spans="1:17">
      <c r="A315" t="s">
        <v>970</v>
      </c>
      <c r="B315" s="672" t="s">
        <v>965</v>
      </c>
      <c r="C315">
        <v>0.32</v>
      </c>
      <c r="D315" t="s">
        <v>758</v>
      </c>
      <c r="E315" t="s">
        <v>976</v>
      </c>
      <c r="F315" t="s">
        <v>973</v>
      </c>
      <c r="G315" s="672" t="s">
        <v>962</v>
      </c>
      <c r="H315">
        <v>0.27100000000000002</v>
      </c>
      <c r="J315" s="1" t="s">
        <v>770</v>
      </c>
      <c r="K315">
        <v>108313253</v>
      </c>
      <c r="L315" s="2">
        <v>45980</v>
      </c>
      <c r="M315">
        <v>21</v>
      </c>
      <c r="N315">
        <v>1</v>
      </c>
      <c r="O315">
        <v>0</v>
      </c>
      <c r="P315">
        <v>1</v>
      </c>
      <c r="Q315" t="s">
        <v>3</v>
      </c>
    </row>
    <row r="316" spans="1:17">
      <c r="A316" t="s">
        <v>970</v>
      </c>
      <c r="B316" s="672" t="s">
        <v>965</v>
      </c>
      <c r="C316">
        <v>0.28000000000000003</v>
      </c>
      <c r="D316" t="s">
        <v>765</v>
      </c>
      <c r="E316" t="s">
        <v>976</v>
      </c>
      <c r="F316" t="s">
        <v>973</v>
      </c>
      <c r="G316" s="672" t="s">
        <v>962</v>
      </c>
      <c r="H316">
        <v>0.311</v>
      </c>
      <c r="J316" s="1" t="s">
        <v>770</v>
      </c>
      <c r="K316">
        <v>108361181</v>
      </c>
      <c r="L316" s="2">
        <v>46025</v>
      </c>
      <c r="M316">
        <v>1</v>
      </c>
      <c r="N316">
        <v>1</v>
      </c>
      <c r="O316">
        <v>0</v>
      </c>
      <c r="P316">
        <v>5</v>
      </c>
    </row>
    <row r="317" spans="1:17">
      <c r="A317" t="s">
        <v>970</v>
      </c>
      <c r="B317" s="672" t="s">
        <v>965</v>
      </c>
      <c r="C317">
        <v>0.25</v>
      </c>
      <c r="D317" t="s">
        <v>758</v>
      </c>
      <c r="E317" t="s">
        <v>976</v>
      </c>
      <c r="F317" t="s">
        <v>973</v>
      </c>
      <c r="G317" s="672" t="s">
        <v>962</v>
      </c>
      <c r="H317">
        <v>0.34100000000000003</v>
      </c>
      <c r="J317" s="1" t="s">
        <v>770</v>
      </c>
      <c r="K317">
        <v>106401761</v>
      </c>
      <c r="L317" s="2">
        <v>44146</v>
      </c>
      <c r="M317">
        <v>21</v>
      </c>
      <c r="N317">
        <v>2</v>
      </c>
      <c r="O317">
        <v>0</v>
      </c>
      <c r="P317">
        <v>1</v>
      </c>
      <c r="Q317" t="s">
        <v>7</v>
      </c>
    </row>
    <row r="318" spans="1:17">
      <c r="A318" t="s">
        <v>970</v>
      </c>
      <c r="B318" s="672" t="s">
        <v>965</v>
      </c>
      <c r="C318">
        <v>0.189</v>
      </c>
      <c r="D318" t="s">
        <v>758</v>
      </c>
      <c r="E318" t="s">
        <v>976</v>
      </c>
      <c r="F318" t="s">
        <v>973</v>
      </c>
      <c r="G318" s="672" t="s">
        <v>962</v>
      </c>
      <c r="H318">
        <v>0.40200000000000002</v>
      </c>
      <c r="J318" s="1" t="s">
        <v>770</v>
      </c>
      <c r="K318">
        <v>108471501</v>
      </c>
      <c r="L318" s="2">
        <v>46132</v>
      </c>
      <c r="M318">
        <v>21</v>
      </c>
      <c r="N318">
        <v>1</v>
      </c>
      <c r="O318">
        <v>0</v>
      </c>
      <c r="P318">
        <v>1</v>
      </c>
      <c r="Q318" t="s">
        <v>3</v>
      </c>
    </row>
    <row r="319" spans="1:17">
      <c r="A319" t="s">
        <v>970</v>
      </c>
      <c r="B319" s="672" t="s">
        <v>965</v>
      </c>
      <c r="C319">
        <v>0.1</v>
      </c>
      <c r="D319" t="s">
        <v>758</v>
      </c>
      <c r="E319" t="s">
        <v>976</v>
      </c>
      <c r="F319" t="s">
        <v>973</v>
      </c>
      <c r="G319" s="672" t="s">
        <v>962</v>
      </c>
      <c r="H319">
        <v>0.49099999999999999</v>
      </c>
      <c r="J319" s="1" t="s">
        <v>770</v>
      </c>
      <c r="K319">
        <v>105668819</v>
      </c>
      <c r="L319" s="2">
        <v>43416</v>
      </c>
      <c r="M319">
        <v>1</v>
      </c>
      <c r="N319">
        <v>1</v>
      </c>
      <c r="O319">
        <v>0</v>
      </c>
      <c r="P319">
        <v>4</v>
      </c>
    </row>
    <row r="320" spans="1:17">
      <c r="A320" t="s">
        <v>970</v>
      </c>
      <c r="B320" s="672" t="s">
        <v>965</v>
      </c>
      <c r="C320">
        <v>5.8000000000000003E-2</v>
      </c>
      <c r="D320" t="s">
        <v>765</v>
      </c>
      <c r="E320" t="s">
        <v>976</v>
      </c>
      <c r="F320" t="s">
        <v>973</v>
      </c>
      <c r="G320" s="672" t="s">
        <v>962</v>
      </c>
      <c r="H320">
        <v>0.53300000000000003</v>
      </c>
      <c r="J320" s="1" t="s">
        <v>770</v>
      </c>
      <c r="K320">
        <v>106580347</v>
      </c>
      <c r="L320" s="2">
        <v>44335</v>
      </c>
      <c r="M320">
        <v>29</v>
      </c>
      <c r="N320">
        <v>1</v>
      </c>
      <c r="O320">
        <v>0</v>
      </c>
      <c r="P320">
        <v>1</v>
      </c>
      <c r="Q320" t="s">
        <v>8</v>
      </c>
    </row>
    <row r="321" spans="1:22">
      <c r="A321" t="s">
        <v>970</v>
      </c>
      <c r="B321" s="672" t="s">
        <v>965</v>
      </c>
      <c r="C321">
        <v>8.5000000000000006E-2</v>
      </c>
      <c r="D321" t="s">
        <v>758</v>
      </c>
      <c r="E321" t="s">
        <v>995</v>
      </c>
      <c r="F321" t="s">
        <v>976</v>
      </c>
      <c r="G321" s="672" t="s">
        <v>962</v>
      </c>
      <c r="H321">
        <v>0.58599999999999997</v>
      </c>
      <c r="I321" t="s">
        <v>61</v>
      </c>
      <c r="J321" s="1" t="s">
        <v>770</v>
      </c>
      <c r="K321">
        <v>106806195</v>
      </c>
      <c r="L321" s="2">
        <v>44546</v>
      </c>
      <c r="M321">
        <v>21</v>
      </c>
      <c r="N321">
        <v>1</v>
      </c>
      <c r="O321">
        <v>0</v>
      </c>
      <c r="P321">
        <v>1</v>
      </c>
      <c r="Q321" t="s">
        <v>8</v>
      </c>
    </row>
    <row r="322" spans="1:22">
      <c r="A322" t="s">
        <v>970</v>
      </c>
      <c r="B322" s="672" t="s">
        <v>965</v>
      </c>
      <c r="C322">
        <v>2E-3</v>
      </c>
      <c r="D322" t="s">
        <v>758</v>
      </c>
      <c r="E322" t="s">
        <v>976</v>
      </c>
      <c r="F322" t="s">
        <v>973</v>
      </c>
      <c r="G322" s="672" t="s">
        <v>962</v>
      </c>
      <c r="H322">
        <v>0.58899999999999997</v>
      </c>
      <c r="J322" s="1" t="s">
        <v>770</v>
      </c>
      <c r="K322">
        <v>108389051</v>
      </c>
      <c r="L322" s="2">
        <v>46051</v>
      </c>
      <c r="M322">
        <v>21</v>
      </c>
      <c r="N322">
        <v>1</v>
      </c>
      <c r="O322">
        <v>7</v>
      </c>
      <c r="P322">
        <v>1</v>
      </c>
      <c r="Q322" t="s">
        <v>7</v>
      </c>
    </row>
    <row r="323" spans="1:22">
      <c r="A323" t="s">
        <v>970</v>
      </c>
      <c r="B323" s="672" t="s">
        <v>965</v>
      </c>
      <c r="C323">
        <v>0</v>
      </c>
      <c r="E323" t="s">
        <v>976</v>
      </c>
      <c r="F323" t="s">
        <v>973</v>
      </c>
      <c r="G323" s="672" t="s">
        <v>962</v>
      </c>
      <c r="H323">
        <v>0.59099999999999997</v>
      </c>
      <c r="J323" s="1" t="s">
        <v>770</v>
      </c>
      <c r="K323">
        <v>105013789</v>
      </c>
      <c r="L323" s="2">
        <v>42785</v>
      </c>
      <c r="M323">
        <v>29</v>
      </c>
      <c r="N323">
        <v>1</v>
      </c>
      <c r="O323">
        <v>8</v>
      </c>
      <c r="P323">
        <v>5</v>
      </c>
      <c r="Q323" t="s">
        <v>7</v>
      </c>
    </row>
    <row r="324" spans="1:22">
      <c r="A324" t="s">
        <v>970</v>
      </c>
      <c r="B324" s="672" t="s">
        <v>965</v>
      </c>
      <c r="C324">
        <v>7.3999999999999996E-2</v>
      </c>
      <c r="D324" t="s">
        <v>758</v>
      </c>
      <c r="E324" t="s">
        <v>995</v>
      </c>
      <c r="F324" t="s">
        <v>976</v>
      </c>
      <c r="G324" s="672" t="s">
        <v>962</v>
      </c>
      <c r="H324">
        <v>0.59699999999999998</v>
      </c>
      <c r="I324" t="s">
        <v>61</v>
      </c>
      <c r="J324" s="1" t="s">
        <v>770</v>
      </c>
      <c r="K324">
        <v>106725275</v>
      </c>
      <c r="L324" s="2">
        <v>44481</v>
      </c>
      <c r="M324">
        <v>21</v>
      </c>
      <c r="N324">
        <v>1</v>
      </c>
      <c r="O324">
        <v>0</v>
      </c>
      <c r="P324">
        <v>1</v>
      </c>
      <c r="Q324" t="s">
        <v>3</v>
      </c>
    </row>
    <row r="325" spans="1:22">
      <c r="A325" t="s">
        <v>970</v>
      </c>
      <c r="B325" s="672" t="s">
        <v>965</v>
      </c>
      <c r="C325">
        <v>3.7999999999999999E-2</v>
      </c>
      <c r="D325" t="s">
        <v>756</v>
      </c>
      <c r="E325" t="s">
        <v>976</v>
      </c>
      <c r="F325" t="s">
        <v>973</v>
      </c>
      <c r="G325" s="672" t="s">
        <v>962</v>
      </c>
      <c r="H325">
        <v>0.629</v>
      </c>
      <c r="J325" s="1" t="s">
        <v>770</v>
      </c>
      <c r="K325">
        <v>105075866</v>
      </c>
      <c r="L325" s="2">
        <v>42830</v>
      </c>
      <c r="M325">
        <v>21</v>
      </c>
      <c r="N325">
        <v>2</v>
      </c>
      <c r="O325">
        <v>0</v>
      </c>
      <c r="P325">
        <v>1</v>
      </c>
      <c r="Q325" t="s">
        <v>7</v>
      </c>
    </row>
    <row r="326" spans="1:22">
      <c r="A326" t="s">
        <v>970</v>
      </c>
      <c r="B326" s="672" t="s">
        <v>965</v>
      </c>
      <c r="C326">
        <v>0.2</v>
      </c>
      <c r="D326" t="s">
        <v>756</v>
      </c>
      <c r="E326" t="s">
        <v>976</v>
      </c>
      <c r="F326" t="s">
        <v>983</v>
      </c>
      <c r="G326" s="672" t="s">
        <v>962</v>
      </c>
      <c r="H326">
        <v>0.79100000000000004</v>
      </c>
      <c r="J326" s="1" t="s">
        <v>770</v>
      </c>
      <c r="K326">
        <v>105035818</v>
      </c>
      <c r="L326" s="2">
        <v>42806</v>
      </c>
      <c r="M326">
        <v>1</v>
      </c>
      <c r="N326">
        <v>2</v>
      </c>
      <c r="O326">
        <v>0</v>
      </c>
      <c r="P326">
        <v>1</v>
      </c>
      <c r="Q326" t="s">
        <v>7</v>
      </c>
    </row>
    <row r="327" spans="1:22">
      <c r="A327" t="s">
        <v>970</v>
      </c>
      <c r="B327" s="672" t="s">
        <v>962</v>
      </c>
      <c r="C327">
        <v>0.1</v>
      </c>
      <c r="D327" t="s">
        <v>758</v>
      </c>
      <c r="E327" t="s">
        <v>983</v>
      </c>
      <c r="F327" t="s">
        <v>976</v>
      </c>
      <c r="G327" s="672" t="s">
        <v>962</v>
      </c>
      <c r="H327">
        <v>0.79500000000000004</v>
      </c>
      <c r="J327" s="1" t="s">
        <v>770</v>
      </c>
      <c r="K327">
        <v>106766819</v>
      </c>
      <c r="L327" s="2">
        <v>44510</v>
      </c>
      <c r="M327">
        <v>17</v>
      </c>
      <c r="N327">
        <v>1</v>
      </c>
      <c r="O327">
        <v>0</v>
      </c>
      <c r="P327">
        <v>5</v>
      </c>
      <c r="Q327" t="s">
        <v>7</v>
      </c>
    </row>
    <row r="328" spans="1:22">
      <c r="A328" t="s">
        <v>970</v>
      </c>
      <c r="B328" s="672" t="s">
        <v>965</v>
      </c>
      <c r="C328">
        <v>3.7999999999999999E-2</v>
      </c>
      <c r="D328" t="s">
        <v>758</v>
      </c>
      <c r="E328" t="s">
        <v>983</v>
      </c>
      <c r="F328" t="s">
        <v>976</v>
      </c>
      <c r="G328" s="672" t="s">
        <v>962</v>
      </c>
      <c r="H328">
        <v>0.85699999999999998</v>
      </c>
      <c r="J328" s="1" t="s">
        <v>770</v>
      </c>
      <c r="K328">
        <v>105764042</v>
      </c>
      <c r="L328" s="2">
        <v>43495</v>
      </c>
      <c r="M328">
        <v>21</v>
      </c>
      <c r="N328">
        <v>1</v>
      </c>
      <c r="O328">
        <v>0</v>
      </c>
      <c r="P328">
        <v>1</v>
      </c>
      <c r="Q328" t="s">
        <v>7</v>
      </c>
    </row>
    <row r="329" spans="1:22">
      <c r="A329" t="s">
        <v>970</v>
      </c>
      <c r="B329" s="672" t="s">
        <v>965</v>
      </c>
      <c r="C329">
        <v>8.9999999999999993E-3</v>
      </c>
      <c r="D329" t="s">
        <v>758</v>
      </c>
      <c r="E329" t="s">
        <v>983</v>
      </c>
      <c r="F329" t="s">
        <v>971</v>
      </c>
      <c r="G329" s="672" t="s">
        <v>962</v>
      </c>
      <c r="H329">
        <v>0.88600000000000001</v>
      </c>
      <c r="J329" s="1" t="s">
        <v>770</v>
      </c>
      <c r="K329">
        <v>106835489</v>
      </c>
      <c r="L329" s="2">
        <v>44579</v>
      </c>
      <c r="M329">
        <v>21</v>
      </c>
      <c r="N329">
        <v>1</v>
      </c>
      <c r="O329">
        <v>8</v>
      </c>
      <c r="P329">
        <v>1</v>
      </c>
      <c r="Q329" t="s">
        <v>7</v>
      </c>
    </row>
    <row r="330" spans="1:22">
      <c r="A330" t="s">
        <v>970</v>
      </c>
      <c r="B330" s="672" t="s">
        <v>962</v>
      </c>
      <c r="C330">
        <v>3.2000000000000001E-2</v>
      </c>
      <c r="D330" t="s">
        <v>756</v>
      </c>
      <c r="E330" t="s">
        <v>983</v>
      </c>
      <c r="F330" t="s">
        <v>971</v>
      </c>
      <c r="G330" s="672" t="s">
        <v>962</v>
      </c>
      <c r="H330">
        <v>0.92700000000000005</v>
      </c>
      <c r="J330" s="1" t="s">
        <v>770</v>
      </c>
      <c r="K330">
        <v>108499171</v>
      </c>
      <c r="L330" s="2">
        <v>46154</v>
      </c>
      <c r="M330">
        <v>21</v>
      </c>
      <c r="N330">
        <v>1</v>
      </c>
      <c r="O330">
        <v>0</v>
      </c>
      <c r="P330">
        <v>1</v>
      </c>
      <c r="Q330" t="s">
        <v>7</v>
      </c>
      <c r="R330">
        <v>35.181139999999999</v>
      </c>
      <c r="S330">
        <v>-79.453040000000001</v>
      </c>
      <c r="T330" t="s">
        <v>755</v>
      </c>
      <c r="U330" t="s">
        <v>367</v>
      </c>
      <c r="V330">
        <v>1.4311</v>
      </c>
    </row>
    <row r="331" spans="1:22">
      <c r="A331" t="s">
        <v>970</v>
      </c>
      <c r="B331" s="672" t="s">
        <v>965</v>
      </c>
      <c r="C331">
        <v>3.7999999999999999E-2</v>
      </c>
      <c r="D331" t="s">
        <v>756</v>
      </c>
      <c r="E331" t="s">
        <v>983</v>
      </c>
      <c r="F331" t="s">
        <v>971</v>
      </c>
      <c r="G331" s="672" t="s">
        <v>962</v>
      </c>
      <c r="H331">
        <v>0.93300000000000005</v>
      </c>
      <c r="J331" s="1" t="s">
        <v>770</v>
      </c>
      <c r="K331">
        <v>107090127</v>
      </c>
      <c r="L331" s="2">
        <v>44805</v>
      </c>
      <c r="M331">
        <v>2</v>
      </c>
      <c r="N331">
        <v>1</v>
      </c>
      <c r="O331">
        <v>0</v>
      </c>
      <c r="P331">
        <v>1</v>
      </c>
      <c r="Q331" t="s">
        <v>8</v>
      </c>
    </row>
    <row r="332" spans="1:22">
      <c r="A332" t="s">
        <v>970</v>
      </c>
      <c r="B332" s="672" t="s">
        <v>965</v>
      </c>
      <c r="C332">
        <v>9.6000000000000002E-2</v>
      </c>
      <c r="D332" t="s">
        <v>758</v>
      </c>
      <c r="E332" t="s">
        <v>971</v>
      </c>
      <c r="F332" t="s">
        <v>972</v>
      </c>
      <c r="G332" s="672" t="s">
        <v>962</v>
      </c>
      <c r="H332">
        <v>0.94499999999999995</v>
      </c>
      <c r="J332" s="1" t="s">
        <v>770</v>
      </c>
      <c r="K332">
        <v>107446399</v>
      </c>
      <c r="L332" s="2">
        <v>45171</v>
      </c>
      <c r="M332">
        <v>17</v>
      </c>
      <c r="N332">
        <v>1</v>
      </c>
      <c r="O332">
        <v>0</v>
      </c>
      <c r="P332">
        <v>1</v>
      </c>
      <c r="Q332" t="s">
        <v>7</v>
      </c>
    </row>
    <row r="333" spans="1:22">
      <c r="A333" t="s">
        <v>970</v>
      </c>
      <c r="B333" s="672" t="s">
        <v>965</v>
      </c>
      <c r="C333">
        <v>5.8999999999999997E-2</v>
      </c>
      <c r="D333" t="s">
        <v>756</v>
      </c>
      <c r="E333" t="s">
        <v>983</v>
      </c>
      <c r="F333" t="s">
        <v>971</v>
      </c>
      <c r="G333" s="672" t="s">
        <v>962</v>
      </c>
      <c r="H333">
        <v>0.95399999999999996</v>
      </c>
      <c r="J333" s="1" t="s">
        <v>770</v>
      </c>
      <c r="K333">
        <v>107397257</v>
      </c>
      <c r="L333" s="2">
        <v>45120</v>
      </c>
      <c r="M333">
        <v>21</v>
      </c>
      <c r="N333">
        <v>1</v>
      </c>
      <c r="O333">
        <v>0</v>
      </c>
      <c r="P333">
        <v>1</v>
      </c>
      <c r="Q333" t="s">
        <v>7</v>
      </c>
    </row>
    <row r="334" spans="1:22">
      <c r="A334" t="s">
        <v>970</v>
      </c>
      <c r="B334" s="672" t="s">
        <v>965</v>
      </c>
      <c r="C334">
        <v>2.7E-2</v>
      </c>
      <c r="D334" t="s">
        <v>758</v>
      </c>
      <c r="E334" t="s">
        <v>971</v>
      </c>
      <c r="F334" t="s">
        <v>983</v>
      </c>
      <c r="G334" s="672" t="s">
        <v>962</v>
      </c>
      <c r="H334">
        <v>1.014</v>
      </c>
      <c r="J334" s="1" t="s">
        <v>770</v>
      </c>
      <c r="K334">
        <v>105620847</v>
      </c>
      <c r="L334" s="2">
        <v>43375</v>
      </c>
      <c r="M334">
        <v>21</v>
      </c>
      <c r="N334">
        <v>1</v>
      </c>
      <c r="O334">
        <v>0</v>
      </c>
      <c r="P334">
        <v>1</v>
      </c>
      <c r="Q334" t="s">
        <v>7</v>
      </c>
    </row>
    <row r="335" spans="1:22">
      <c r="A335" t="s">
        <v>970</v>
      </c>
      <c r="B335" t="s">
        <v>971</v>
      </c>
      <c r="C335">
        <v>0</v>
      </c>
      <c r="E335" s="672" t="s">
        <v>965</v>
      </c>
      <c r="F335" t="s">
        <v>994</v>
      </c>
      <c r="G335" s="672" t="s">
        <v>962</v>
      </c>
      <c r="H335">
        <v>1.0409999999999999</v>
      </c>
      <c r="J335" s="1" t="s">
        <v>770</v>
      </c>
      <c r="K335">
        <v>107614732</v>
      </c>
      <c r="L335" s="2">
        <v>45324</v>
      </c>
      <c r="M335">
        <v>24</v>
      </c>
      <c r="N335">
        <v>1</v>
      </c>
      <c r="O335">
        <v>7</v>
      </c>
      <c r="P335">
        <v>4</v>
      </c>
      <c r="Q335" t="s">
        <v>7</v>
      </c>
    </row>
    <row r="336" spans="1:22">
      <c r="A336" t="s">
        <v>970</v>
      </c>
      <c r="B336" s="672" t="s">
        <v>965</v>
      </c>
      <c r="C336">
        <v>0</v>
      </c>
      <c r="E336" t="s">
        <v>971</v>
      </c>
      <c r="F336" t="s">
        <v>998</v>
      </c>
      <c r="G336" s="672" t="s">
        <v>962</v>
      </c>
      <c r="H336">
        <v>1.0409999999999999</v>
      </c>
      <c r="J336" s="1" t="s">
        <v>770</v>
      </c>
      <c r="K336">
        <v>108596194</v>
      </c>
      <c r="L336" s="2">
        <v>46254</v>
      </c>
      <c r="M336">
        <v>19</v>
      </c>
      <c r="N336">
        <v>1</v>
      </c>
      <c r="O336">
        <v>7</v>
      </c>
      <c r="P336">
        <v>1</v>
      </c>
    </row>
    <row r="337" spans="1:22">
      <c r="A337" t="s">
        <v>970</v>
      </c>
      <c r="B337" s="672" t="s">
        <v>965</v>
      </c>
      <c r="C337">
        <v>0</v>
      </c>
      <c r="E337" t="s">
        <v>971</v>
      </c>
      <c r="F337" t="s">
        <v>991</v>
      </c>
      <c r="G337" s="672" t="s">
        <v>962</v>
      </c>
      <c r="H337">
        <v>1.0409999999999999</v>
      </c>
      <c r="J337" s="1" t="s">
        <v>770</v>
      </c>
      <c r="K337">
        <v>108575031</v>
      </c>
      <c r="L337" s="2">
        <v>46233</v>
      </c>
      <c r="M337">
        <v>23</v>
      </c>
      <c r="N337">
        <v>1</v>
      </c>
      <c r="O337">
        <v>7</v>
      </c>
      <c r="P337">
        <v>1</v>
      </c>
      <c r="Q337" t="s">
        <v>3</v>
      </c>
      <c r="R337">
        <v>35.180579999999999</v>
      </c>
      <c r="S337">
        <v>-79.451080000000005</v>
      </c>
      <c r="T337" t="s">
        <v>755</v>
      </c>
      <c r="U337" t="s">
        <v>367</v>
      </c>
      <c r="V337">
        <v>1.3162</v>
      </c>
    </row>
    <row r="338" spans="1:22">
      <c r="A338" t="s">
        <v>970</v>
      </c>
      <c r="B338" s="672" t="s">
        <v>965</v>
      </c>
      <c r="C338">
        <v>0</v>
      </c>
      <c r="E338" t="s">
        <v>971</v>
      </c>
      <c r="F338" t="s">
        <v>972</v>
      </c>
      <c r="G338" s="672" t="s">
        <v>962</v>
      </c>
      <c r="H338">
        <v>1.0409999999999999</v>
      </c>
      <c r="J338" s="1" t="s">
        <v>770</v>
      </c>
      <c r="K338">
        <v>106939216</v>
      </c>
      <c r="L338" s="2">
        <v>44680</v>
      </c>
      <c r="M338">
        <v>30</v>
      </c>
      <c r="N338">
        <v>1</v>
      </c>
      <c r="O338">
        <v>7</v>
      </c>
      <c r="P338">
        <v>1</v>
      </c>
      <c r="Q338" t="s">
        <v>7</v>
      </c>
    </row>
    <row r="339" spans="1:22">
      <c r="A339" t="s">
        <v>970</v>
      </c>
      <c r="B339" s="672" t="s">
        <v>965</v>
      </c>
      <c r="C339">
        <v>0</v>
      </c>
      <c r="E339" t="s">
        <v>971</v>
      </c>
      <c r="F339" t="s">
        <v>995</v>
      </c>
      <c r="G339" s="672" t="s">
        <v>962</v>
      </c>
      <c r="H339">
        <v>1.0409999999999999</v>
      </c>
      <c r="J339" s="1" t="s">
        <v>770</v>
      </c>
      <c r="K339">
        <v>106995108</v>
      </c>
      <c r="L339" s="2">
        <v>44733</v>
      </c>
      <c r="M339">
        <v>21</v>
      </c>
      <c r="N339">
        <v>1</v>
      </c>
      <c r="O339">
        <v>7</v>
      </c>
      <c r="P339">
        <v>1</v>
      </c>
      <c r="Q339" t="s">
        <v>3</v>
      </c>
    </row>
    <row r="340" spans="1:22">
      <c r="A340" t="s">
        <v>970</v>
      </c>
      <c r="B340" s="672" t="s">
        <v>965</v>
      </c>
      <c r="C340">
        <v>0</v>
      </c>
      <c r="E340" t="s">
        <v>971</v>
      </c>
      <c r="G340" s="672" t="s">
        <v>962</v>
      </c>
      <c r="H340">
        <v>1.0409999999999999</v>
      </c>
      <c r="J340" s="1" t="s">
        <v>770</v>
      </c>
      <c r="K340">
        <v>106374934</v>
      </c>
      <c r="L340" s="2">
        <v>44110</v>
      </c>
      <c r="M340">
        <v>21</v>
      </c>
      <c r="N340">
        <v>1</v>
      </c>
      <c r="O340">
        <v>7</v>
      </c>
      <c r="P340">
        <v>1</v>
      </c>
      <c r="Q340" t="s">
        <v>7</v>
      </c>
    </row>
    <row r="341" spans="1:22">
      <c r="A341" t="s">
        <v>970</v>
      </c>
      <c r="B341" s="672" t="s">
        <v>965</v>
      </c>
      <c r="C341">
        <v>0</v>
      </c>
      <c r="E341" t="s">
        <v>971</v>
      </c>
      <c r="G341" s="672" t="s">
        <v>962</v>
      </c>
      <c r="H341">
        <v>1.0409999999999999</v>
      </c>
      <c r="J341" s="1" t="s">
        <v>770</v>
      </c>
      <c r="K341">
        <v>107817331</v>
      </c>
      <c r="L341" s="2">
        <v>45516</v>
      </c>
      <c r="M341">
        <v>23</v>
      </c>
      <c r="N341">
        <v>1</v>
      </c>
      <c r="P341">
        <v>1</v>
      </c>
      <c r="Q341" t="s">
        <v>3</v>
      </c>
    </row>
    <row r="342" spans="1:22">
      <c r="A342" t="s">
        <v>970</v>
      </c>
      <c r="B342" s="672" t="s">
        <v>965</v>
      </c>
      <c r="C342">
        <v>0</v>
      </c>
      <c r="E342" t="s">
        <v>971</v>
      </c>
      <c r="G342" s="672" t="s">
        <v>962</v>
      </c>
      <c r="H342">
        <v>1.0409999999999999</v>
      </c>
      <c r="J342" s="1" t="s">
        <v>770</v>
      </c>
      <c r="K342">
        <v>106043703</v>
      </c>
      <c r="L342" s="2">
        <v>43768</v>
      </c>
      <c r="M342">
        <v>30</v>
      </c>
      <c r="N342">
        <v>1</v>
      </c>
      <c r="O342">
        <v>7</v>
      </c>
      <c r="P342">
        <v>4</v>
      </c>
      <c r="Q342" t="s">
        <v>7</v>
      </c>
    </row>
    <row r="343" spans="1:22">
      <c r="A343" t="s">
        <v>970</v>
      </c>
      <c r="B343" s="672" t="s">
        <v>965</v>
      </c>
      <c r="C343">
        <v>0</v>
      </c>
      <c r="E343" t="s">
        <v>971</v>
      </c>
      <c r="G343" s="672" t="s">
        <v>962</v>
      </c>
      <c r="H343">
        <v>1.0409999999999999</v>
      </c>
      <c r="J343" s="1" t="s">
        <v>770</v>
      </c>
      <c r="K343">
        <v>107331335</v>
      </c>
      <c r="L343" s="2">
        <v>45057</v>
      </c>
      <c r="M343">
        <v>30</v>
      </c>
      <c r="N343">
        <v>1</v>
      </c>
      <c r="O343">
        <v>7</v>
      </c>
      <c r="P343">
        <v>1</v>
      </c>
      <c r="Q343" t="s">
        <v>8</v>
      </c>
    </row>
    <row r="344" spans="1:22">
      <c r="A344" t="s">
        <v>970</v>
      </c>
      <c r="B344" s="672" t="s">
        <v>965</v>
      </c>
      <c r="C344">
        <v>0</v>
      </c>
      <c r="E344" t="s">
        <v>971</v>
      </c>
      <c r="G344" s="672" t="s">
        <v>962</v>
      </c>
      <c r="H344">
        <v>1.0409999999999999</v>
      </c>
      <c r="J344" s="1" t="s">
        <v>770</v>
      </c>
      <c r="K344">
        <v>108098341</v>
      </c>
      <c r="L344" s="2">
        <v>45780</v>
      </c>
      <c r="M344">
        <v>30</v>
      </c>
      <c r="N344">
        <v>1</v>
      </c>
      <c r="O344">
        <v>7</v>
      </c>
      <c r="P344">
        <v>1</v>
      </c>
      <c r="Q344" t="s">
        <v>3</v>
      </c>
    </row>
    <row r="345" spans="1:22">
      <c r="A345" t="s">
        <v>970</v>
      </c>
      <c r="B345" s="672" t="s">
        <v>962</v>
      </c>
      <c r="C345">
        <v>0</v>
      </c>
      <c r="E345" t="s">
        <v>971</v>
      </c>
      <c r="F345" t="s">
        <v>972</v>
      </c>
      <c r="G345" s="672" t="s">
        <v>962</v>
      </c>
      <c r="H345">
        <v>1.0409999999999999</v>
      </c>
      <c r="J345" s="1" t="s">
        <v>770</v>
      </c>
      <c r="K345">
        <v>107922887</v>
      </c>
      <c r="L345" s="2">
        <v>45610</v>
      </c>
      <c r="M345">
        <v>30</v>
      </c>
      <c r="N345">
        <v>2</v>
      </c>
      <c r="O345">
        <v>7</v>
      </c>
      <c r="P345">
        <v>1</v>
      </c>
      <c r="Q345" t="s">
        <v>7</v>
      </c>
    </row>
    <row r="346" spans="1:22">
      <c r="A346" t="s">
        <v>970</v>
      </c>
      <c r="B346" s="672" t="s">
        <v>965</v>
      </c>
      <c r="C346">
        <v>4.0000000000000001E-3</v>
      </c>
      <c r="D346" t="s">
        <v>756</v>
      </c>
      <c r="E346" t="s">
        <v>971</v>
      </c>
      <c r="F346" t="s">
        <v>972</v>
      </c>
      <c r="G346" s="672" t="s">
        <v>962</v>
      </c>
      <c r="H346">
        <v>1.0449999999999999</v>
      </c>
      <c r="J346" s="1" t="s">
        <v>770</v>
      </c>
      <c r="K346">
        <v>107331337</v>
      </c>
      <c r="L346" s="2">
        <v>45057</v>
      </c>
      <c r="M346">
        <v>28</v>
      </c>
      <c r="N346">
        <v>1</v>
      </c>
      <c r="O346">
        <v>7</v>
      </c>
      <c r="P346">
        <v>1</v>
      </c>
      <c r="Q346" t="s">
        <v>7</v>
      </c>
    </row>
    <row r="347" spans="1:22">
      <c r="A347" t="s">
        <v>970</v>
      </c>
      <c r="B347" s="672" t="s">
        <v>965</v>
      </c>
      <c r="C347">
        <v>5.0000000000000001E-3</v>
      </c>
      <c r="D347" t="s">
        <v>756</v>
      </c>
      <c r="E347" t="s">
        <v>971</v>
      </c>
      <c r="F347" t="s">
        <v>972</v>
      </c>
      <c r="G347" s="672" t="s">
        <v>962</v>
      </c>
      <c r="H347">
        <v>1.046</v>
      </c>
      <c r="J347" s="1" t="s">
        <v>770</v>
      </c>
      <c r="K347">
        <v>107814420</v>
      </c>
      <c r="L347" s="2">
        <v>45514</v>
      </c>
      <c r="M347">
        <v>21</v>
      </c>
      <c r="N347">
        <v>1</v>
      </c>
      <c r="O347">
        <v>7</v>
      </c>
      <c r="P347">
        <v>1</v>
      </c>
      <c r="Q347" t="s">
        <v>7</v>
      </c>
    </row>
    <row r="348" spans="1:22">
      <c r="A348" t="s">
        <v>970</v>
      </c>
      <c r="B348" s="672" t="s">
        <v>965</v>
      </c>
      <c r="C348">
        <v>1.0999999999999999E-2</v>
      </c>
      <c r="D348" t="s">
        <v>756</v>
      </c>
      <c r="E348" t="s">
        <v>971</v>
      </c>
      <c r="F348" t="s">
        <v>972</v>
      </c>
      <c r="G348" s="672" t="s">
        <v>962</v>
      </c>
      <c r="H348">
        <v>1.052</v>
      </c>
      <c r="J348" s="1" t="s">
        <v>770</v>
      </c>
      <c r="K348">
        <v>106811569</v>
      </c>
      <c r="L348" s="2">
        <v>44550</v>
      </c>
      <c r="M348">
        <v>21</v>
      </c>
      <c r="N348">
        <v>1</v>
      </c>
      <c r="O348">
        <v>0</v>
      </c>
      <c r="P348">
        <v>1</v>
      </c>
      <c r="Q348" t="s">
        <v>7</v>
      </c>
    </row>
    <row r="349" spans="1:22">
      <c r="A349" t="s">
        <v>970</v>
      </c>
      <c r="B349" s="672" t="s">
        <v>965</v>
      </c>
      <c r="C349">
        <v>3.7999999999999999E-2</v>
      </c>
      <c r="D349" t="s">
        <v>756</v>
      </c>
      <c r="E349" t="s">
        <v>971</v>
      </c>
      <c r="F349" s="674" t="s">
        <v>968</v>
      </c>
      <c r="G349" s="672" t="s">
        <v>962</v>
      </c>
      <c r="H349">
        <v>1.079</v>
      </c>
      <c r="J349" s="1" t="s">
        <v>770</v>
      </c>
      <c r="K349">
        <v>105599835</v>
      </c>
      <c r="L349" s="2">
        <v>43354</v>
      </c>
      <c r="M349">
        <v>1</v>
      </c>
      <c r="N349">
        <v>2</v>
      </c>
      <c r="O349">
        <v>0</v>
      </c>
      <c r="P349">
        <v>1</v>
      </c>
    </row>
    <row r="350" spans="1:22">
      <c r="A350" t="s">
        <v>970</v>
      </c>
      <c r="B350" s="672" t="s">
        <v>965</v>
      </c>
      <c r="C350">
        <v>0.14000000000000001</v>
      </c>
      <c r="D350" t="s">
        <v>758</v>
      </c>
      <c r="E350" t="s">
        <v>972</v>
      </c>
      <c r="F350" t="s">
        <v>971</v>
      </c>
      <c r="G350" s="672" t="s">
        <v>962</v>
      </c>
      <c r="H350">
        <v>1.1910000000000001</v>
      </c>
      <c r="J350" s="1" t="s">
        <v>770</v>
      </c>
      <c r="K350">
        <v>107899083</v>
      </c>
      <c r="L350" s="2">
        <v>45590</v>
      </c>
      <c r="M350">
        <v>1</v>
      </c>
      <c r="N350">
        <v>1</v>
      </c>
      <c r="O350">
        <v>0</v>
      </c>
      <c r="P350">
        <v>1</v>
      </c>
      <c r="Q350" t="s">
        <v>10</v>
      </c>
    </row>
    <row r="351" spans="1:22">
      <c r="A351" t="s">
        <v>970</v>
      </c>
      <c r="B351" s="672" t="s">
        <v>965</v>
      </c>
      <c r="C351">
        <v>0.13</v>
      </c>
      <c r="D351" t="s">
        <v>758</v>
      </c>
      <c r="E351" t="s">
        <v>972</v>
      </c>
      <c r="F351" t="s">
        <v>971</v>
      </c>
      <c r="G351" s="672" t="s">
        <v>962</v>
      </c>
      <c r="H351">
        <v>1.2010000000000001</v>
      </c>
      <c r="J351" s="1" t="s">
        <v>770</v>
      </c>
      <c r="K351">
        <v>106398269</v>
      </c>
      <c r="L351" s="2">
        <v>44144</v>
      </c>
      <c r="M351">
        <v>19</v>
      </c>
      <c r="N351">
        <v>1</v>
      </c>
      <c r="O351">
        <v>0</v>
      </c>
      <c r="P351">
        <v>5</v>
      </c>
      <c r="Q351" t="s">
        <v>7</v>
      </c>
    </row>
    <row r="352" spans="1:22">
      <c r="A352" t="s">
        <v>970</v>
      </c>
      <c r="B352" s="672" t="s">
        <v>965</v>
      </c>
      <c r="C352">
        <v>0.189</v>
      </c>
      <c r="D352" t="s">
        <v>756</v>
      </c>
      <c r="E352" t="s">
        <v>971</v>
      </c>
      <c r="F352" t="s">
        <v>972</v>
      </c>
      <c r="G352" s="672" t="s">
        <v>962</v>
      </c>
      <c r="H352">
        <v>1.23</v>
      </c>
      <c r="J352" s="1" t="s">
        <v>770</v>
      </c>
      <c r="K352">
        <v>108323385</v>
      </c>
      <c r="L352" s="2">
        <v>45989</v>
      </c>
      <c r="M352">
        <v>21</v>
      </c>
      <c r="N352">
        <v>1</v>
      </c>
      <c r="O352">
        <v>0</v>
      </c>
      <c r="P352">
        <v>1</v>
      </c>
      <c r="Q352" t="s">
        <v>7</v>
      </c>
    </row>
    <row r="353" spans="1:17">
      <c r="A353" t="s">
        <v>970</v>
      </c>
      <c r="B353" s="672" t="s">
        <v>965</v>
      </c>
      <c r="C353">
        <v>0.19</v>
      </c>
      <c r="D353" t="s">
        <v>756</v>
      </c>
      <c r="E353" t="s">
        <v>971</v>
      </c>
      <c r="F353" t="s">
        <v>972</v>
      </c>
      <c r="G353" s="672" t="s">
        <v>962</v>
      </c>
      <c r="H353">
        <v>1.2310000000000001</v>
      </c>
      <c r="J353" s="1" t="s">
        <v>770</v>
      </c>
      <c r="K353">
        <v>107213186</v>
      </c>
      <c r="L353" s="2">
        <v>44941</v>
      </c>
      <c r="M353">
        <v>21</v>
      </c>
      <c r="N353">
        <v>1</v>
      </c>
      <c r="O353">
        <v>0</v>
      </c>
      <c r="P353">
        <v>1</v>
      </c>
      <c r="Q353" t="s">
        <v>3</v>
      </c>
    </row>
    <row r="354" spans="1:17">
      <c r="A354" t="s">
        <v>970</v>
      </c>
      <c r="B354" s="672" t="s">
        <v>962</v>
      </c>
      <c r="C354">
        <v>9.5000000000000001E-2</v>
      </c>
      <c r="D354" t="s">
        <v>758</v>
      </c>
      <c r="E354" t="s">
        <v>972</v>
      </c>
      <c r="F354" t="s">
        <v>971</v>
      </c>
      <c r="G354" s="672" t="s">
        <v>962</v>
      </c>
      <c r="H354">
        <v>1.236</v>
      </c>
      <c r="J354" s="1" t="s">
        <v>770</v>
      </c>
      <c r="K354">
        <v>108293465</v>
      </c>
      <c r="L354" s="2">
        <v>45965</v>
      </c>
      <c r="M354">
        <v>21</v>
      </c>
      <c r="N354">
        <v>1</v>
      </c>
      <c r="O354">
        <v>0</v>
      </c>
      <c r="P354">
        <v>1</v>
      </c>
      <c r="Q354" t="s">
        <v>7</v>
      </c>
    </row>
    <row r="355" spans="1:17">
      <c r="A355" t="s">
        <v>1021</v>
      </c>
      <c r="B355" s="672" t="s">
        <v>965</v>
      </c>
      <c r="C355">
        <v>0.95</v>
      </c>
      <c r="D355" t="s">
        <v>758</v>
      </c>
      <c r="E355" s="674" t="s">
        <v>968</v>
      </c>
      <c r="F355" s="674" t="s">
        <v>968</v>
      </c>
      <c r="G355" s="672" t="s">
        <v>962</v>
      </c>
      <c r="H355">
        <v>1.242</v>
      </c>
      <c r="J355" s="1" t="s">
        <v>770</v>
      </c>
      <c r="K355">
        <v>107084782</v>
      </c>
      <c r="L355" s="2">
        <v>44824</v>
      </c>
      <c r="M355">
        <v>28</v>
      </c>
      <c r="N355">
        <v>1</v>
      </c>
      <c r="O355">
        <v>0</v>
      </c>
      <c r="P355">
        <v>1</v>
      </c>
      <c r="Q355" t="s">
        <v>7</v>
      </c>
    </row>
    <row r="356" spans="1:17">
      <c r="A356" t="s">
        <v>970</v>
      </c>
      <c r="B356" s="672" t="s">
        <v>965</v>
      </c>
      <c r="C356">
        <v>5.0999999999999997E-2</v>
      </c>
      <c r="D356" t="s">
        <v>758</v>
      </c>
      <c r="E356" t="s">
        <v>972</v>
      </c>
      <c r="F356" t="s">
        <v>971</v>
      </c>
      <c r="G356" s="672" t="s">
        <v>962</v>
      </c>
      <c r="H356">
        <v>1.28</v>
      </c>
      <c r="J356" s="1" t="s">
        <v>770</v>
      </c>
      <c r="K356">
        <v>106233156</v>
      </c>
      <c r="L356" s="2">
        <v>43974</v>
      </c>
      <c r="M356">
        <v>1</v>
      </c>
      <c r="N356">
        <v>1</v>
      </c>
      <c r="O356">
        <v>0</v>
      </c>
      <c r="P356">
        <v>1</v>
      </c>
      <c r="Q356" t="s">
        <v>8</v>
      </c>
    </row>
    <row r="357" spans="1:17">
      <c r="A357" t="s">
        <v>970</v>
      </c>
      <c r="B357" s="672" t="s">
        <v>965</v>
      </c>
      <c r="C357">
        <v>1.4E-2</v>
      </c>
      <c r="D357" t="s">
        <v>758</v>
      </c>
      <c r="E357" t="s">
        <v>972</v>
      </c>
      <c r="F357" t="s">
        <v>971</v>
      </c>
      <c r="G357" s="672" t="s">
        <v>962</v>
      </c>
      <c r="H357">
        <v>1.3169999999999999</v>
      </c>
      <c r="J357" s="1" t="s">
        <v>770</v>
      </c>
      <c r="K357">
        <v>106431618</v>
      </c>
      <c r="L357" s="2">
        <v>44174</v>
      </c>
      <c r="M357">
        <v>21</v>
      </c>
      <c r="N357">
        <v>1</v>
      </c>
      <c r="O357">
        <v>0</v>
      </c>
      <c r="P357">
        <v>1</v>
      </c>
      <c r="Q357" t="s">
        <v>7</v>
      </c>
    </row>
    <row r="358" spans="1:17">
      <c r="A358" t="s">
        <v>970</v>
      </c>
      <c r="B358" s="672" t="s">
        <v>965</v>
      </c>
      <c r="C358">
        <v>0.28000000000000003</v>
      </c>
      <c r="D358" t="s">
        <v>756</v>
      </c>
      <c r="E358" t="s">
        <v>971</v>
      </c>
      <c r="F358" t="s">
        <v>972</v>
      </c>
      <c r="G358" s="672" t="s">
        <v>962</v>
      </c>
      <c r="H358">
        <v>1.321</v>
      </c>
      <c r="J358" s="1" t="s">
        <v>770</v>
      </c>
      <c r="K358">
        <v>105287302</v>
      </c>
      <c r="L358" s="2">
        <v>43052</v>
      </c>
      <c r="M358">
        <v>17</v>
      </c>
      <c r="N358">
        <v>1</v>
      </c>
      <c r="O358">
        <v>0</v>
      </c>
      <c r="P358">
        <v>5</v>
      </c>
      <c r="Q358" t="s">
        <v>7</v>
      </c>
    </row>
    <row r="359" spans="1:17">
      <c r="A359" t="s">
        <v>970</v>
      </c>
      <c r="B359" s="672" t="s">
        <v>965</v>
      </c>
      <c r="C359">
        <v>0.28000000000000003</v>
      </c>
      <c r="D359" t="s">
        <v>756</v>
      </c>
      <c r="E359" t="s">
        <v>971</v>
      </c>
      <c r="F359" t="s">
        <v>972</v>
      </c>
      <c r="G359" s="672" t="s">
        <v>962</v>
      </c>
      <c r="H359">
        <v>1.321</v>
      </c>
      <c r="J359" s="1" t="s">
        <v>770</v>
      </c>
      <c r="K359">
        <v>106387765</v>
      </c>
      <c r="L359" s="2">
        <v>44134</v>
      </c>
      <c r="M359">
        <v>21</v>
      </c>
      <c r="N359">
        <v>1</v>
      </c>
      <c r="O359">
        <v>0</v>
      </c>
      <c r="P359">
        <v>1</v>
      </c>
      <c r="Q359" t="s">
        <v>7</v>
      </c>
    </row>
    <row r="360" spans="1:17">
      <c r="A360" t="s">
        <v>970</v>
      </c>
      <c r="B360" s="672" t="s">
        <v>965</v>
      </c>
      <c r="C360">
        <v>0</v>
      </c>
      <c r="E360" t="s">
        <v>972</v>
      </c>
      <c r="F360" t="s">
        <v>982</v>
      </c>
      <c r="G360" s="672" t="s">
        <v>962</v>
      </c>
      <c r="H360">
        <v>1.331</v>
      </c>
      <c r="J360" s="1" t="s">
        <v>770</v>
      </c>
      <c r="K360">
        <v>105108562</v>
      </c>
      <c r="L360" s="2">
        <v>42878</v>
      </c>
      <c r="M360">
        <v>2</v>
      </c>
      <c r="N360">
        <v>2</v>
      </c>
      <c r="O360">
        <v>0</v>
      </c>
      <c r="P360">
        <v>5</v>
      </c>
      <c r="Q360" t="s">
        <v>7</v>
      </c>
    </row>
    <row r="361" spans="1:17">
      <c r="A361" t="s">
        <v>970</v>
      </c>
      <c r="B361" s="672" t="s">
        <v>965</v>
      </c>
      <c r="C361">
        <v>0</v>
      </c>
      <c r="E361" t="s">
        <v>972</v>
      </c>
      <c r="F361" t="s">
        <v>981</v>
      </c>
      <c r="G361" s="672" t="s">
        <v>962</v>
      </c>
      <c r="H361">
        <v>1.331</v>
      </c>
      <c r="J361" s="1" t="s">
        <v>770</v>
      </c>
      <c r="K361">
        <v>104976268</v>
      </c>
      <c r="L361" s="2">
        <v>42751</v>
      </c>
      <c r="M361">
        <v>1</v>
      </c>
      <c r="N361">
        <v>1</v>
      </c>
      <c r="O361">
        <v>0</v>
      </c>
      <c r="P361">
        <v>5</v>
      </c>
      <c r="Q361" t="s">
        <v>7</v>
      </c>
    </row>
    <row r="362" spans="1:17">
      <c r="A362" t="s">
        <v>970</v>
      </c>
      <c r="B362" s="672" t="s">
        <v>965</v>
      </c>
      <c r="C362">
        <v>0</v>
      </c>
      <c r="E362" t="s">
        <v>972</v>
      </c>
      <c r="F362" t="s">
        <v>981</v>
      </c>
      <c r="G362" s="672" t="s">
        <v>962</v>
      </c>
      <c r="H362">
        <v>1.331</v>
      </c>
      <c r="J362" s="1" t="s">
        <v>770</v>
      </c>
      <c r="K362">
        <v>107693402</v>
      </c>
      <c r="L362" s="2">
        <v>45400</v>
      </c>
      <c r="M362">
        <v>21</v>
      </c>
      <c r="N362">
        <v>1</v>
      </c>
      <c r="O362">
        <v>0</v>
      </c>
      <c r="P362">
        <v>1</v>
      </c>
      <c r="Q362" t="s">
        <v>7</v>
      </c>
    </row>
    <row r="363" spans="1:17">
      <c r="A363" t="s">
        <v>970</v>
      </c>
      <c r="B363" s="672" t="s">
        <v>965</v>
      </c>
      <c r="C363">
        <v>0</v>
      </c>
      <c r="E363" t="s">
        <v>972</v>
      </c>
      <c r="F363" t="s">
        <v>981</v>
      </c>
      <c r="G363" s="672" t="s">
        <v>962</v>
      </c>
      <c r="H363">
        <v>1.331</v>
      </c>
      <c r="J363" s="1" t="s">
        <v>770</v>
      </c>
      <c r="K363">
        <v>107860603</v>
      </c>
      <c r="L363" s="2">
        <v>45559</v>
      </c>
      <c r="M363">
        <v>21</v>
      </c>
      <c r="N363">
        <v>1</v>
      </c>
      <c r="O363">
        <v>8</v>
      </c>
      <c r="P363">
        <v>1</v>
      </c>
      <c r="Q363" t="s">
        <v>3</v>
      </c>
    </row>
    <row r="364" spans="1:17">
      <c r="A364" t="s">
        <v>970</v>
      </c>
      <c r="B364" s="672" t="s">
        <v>965</v>
      </c>
      <c r="C364">
        <v>0</v>
      </c>
      <c r="E364" t="s">
        <v>972</v>
      </c>
      <c r="F364" t="s">
        <v>971</v>
      </c>
      <c r="G364" s="672" t="s">
        <v>962</v>
      </c>
      <c r="H364">
        <v>1.331</v>
      </c>
      <c r="J364" s="1" t="s">
        <v>770</v>
      </c>
      <c r="K364">
        <v>107122160</v>
      </c>
      <c r="L364" s="2">
        <v>44858</v>
      </c>
      <c r="M364">
        <v>17</v>
      </c>
      <c r="N364">
        <v>1</v>
      </c>
      <c r="O364">
        <v>8</v>
      </c>
      <c r="P364">
        <v>5</v>
      </c>
      <c r="Q364" t="s">
        <v>7</v>
      </c>
    </row>
    <row r="365" spans="1:17">
      <c r="A365" t="s">
        <v>970</v>
      </c>
      <c r="B365" s="672" t="s">
        <v>965</v>
      </c>
      <c r="C365">
        <v>0</v>
      </c>
      <c r="E365" t="s">
        <v>972</v>
      </c>
      <c r="G365" s="672" t="s">
        <v>962</v>
      </c>
      <c r="H365">
        <v>1.331</v>
      </c>
      <c r="J365" s="1" t="s">
        <v>770</v>
      </c>
      <c r="K365">
        <v>106901756</v>
      </c>
      <c r="L365" s="2">
        <v>44645</v>
      </c>
      <c r="M365">
        <v>22</v>
      </c>
      <c r="N365">
        <v>1</v>
      </c>
      <c r="O365">
        <v>8</v>
      </c>
      <c r="P365">
        <v>1</v>
      </c>
      <c r="Q365" t="s">
        <v>7</v>
      </c>
    </row>
    <row r="366" spans="1:17">
      <c r="A366" t="s">
        <v>970</v>
      </c>
      <c r="B366" s="672" t="s">
        <v>965</v>
      </c>
      <c r="C366">
        <v>0.3</v>
      </c>
      <c r="D366" t="s">
        <v>762</v>
      </c>
      <c r="E366" t="s">
        <v>971</v>
      </c>
      <c r="F366" s="674" t="s">
        <v>968</v>
      </c>
      <c r="G366" s="672" t="s">
        <v>962</v>
      </c>
      <c r="H366">
        <v>1.341</v>
      </c>
      <c r="J366" s="1" t="s">
        <v>770</v>
      </c>
      <c r="K366">
        <v>107038594</v>
      </c>
      <c r="L366" s="2">
        <v>44780</v>
      </c>
      <c r="M366">
        <v>17</v>
      </c>
      <c r="N366">
        <v>1</v>
      </c>
      <c r="O366">
        <v>0</v>
      </c>
      <c r="P366">
        <v>5</v>
      </c>
      <c r="Q366" t="s">
        <v>7</v>
      </c>
    </row>
    <row r="367" spans="1:17">
      <c r="A367" t="s">
        <v>970</v>
      </c>
      <c r="B367" s="672" t="s">
        <v>965</v>
      </c>
      <c r="C367">
        <v>1.0999999999999999E-2</v>
      </c>
      <c r="D367" t="s">
        <v>756</v>
      </c>
      <c r="E367" t="s">
        <v>972</v>
      </c>
      <c r="F367" t="s">
        <v>981</v>
      </c>
      <c r="G367" s="672" t="s">
        <v>962</v>
      </c>
      <c r="H367">
        <v>1.3420000000000001</v>
      </c>
      <c r="J367" s="1" t="s">
        <v>770</v>
      </c>
      <c r="K367">
        <v>105421693</v>
      </c>
      <c r="L367" s="2">
        <v>43176</v>
      </c>
      <c r="M367">
        <v>1</v>
      </c>
      <c r="N367">
        <v>1</v>
      </c>
      <c r="O367">
        <v>0</v>
      </c>
      <c r="P367">
        <v>5</v>
      </c>
      <c r="Q367" t="s">
        <v>7</v>
      </c>
    </row>
    <row r="368" spans="1:17">
      <c r="A368" t="s">
        <v>970</v>
      </c>
      <c r="B368" s="672" t="s">
        <v>965</v>
      </c>
      <c r="C368">
        <v>4.7E-2</v>
      </c>
      <c r="D368" t="s">
        <v>758</v>
      </c>
      <c r="E368" t="s">
        <v>981</v>
      </c>
      <c r="F368" t="s">
        <v>972</v>
      </c>
      <c r="G368" s="672" t="s">
        <v>962</v>
      </c>
      <c r="H368">
        <v>1.3640000000000001</v>
      </c>
      <c r="J368" s="1" t="s">
        <v>770</v>
      </c>
      <c r="K368">
        <v>105944932</v>
      </c>
      <c r="L368" s="2">
        <v>43649</v>
      </c>
      <c r="M368">
        <v>1</v>
      </c>
      <c r="N368">
        <v>1</v>
      </c>
      <c r="O368">
        <v>0</v>
      </c>
      <c r="P368">
        <v>1</v>
      </c>
      <c r="Q368" t="s">
        <v>7</v>
      </c>
    </row>
    <row r="369" spans="1:17">
      <c r="A369" t="s">
        <v>970</v>
      </c>
      <c r="B369" t="s">
        <v>981</v>
      </c>
      <c r="C369">
        <v>0</v>
      </c>
      <c r="E369" s="672" t="s">
        <v>965</v>
      </c>
      <c r="G369" s="672" t="s">
        <v>962</v>
      </c>
      <c r="H369">
        <v>1.411</v>
      </c>
      <c r="J369" s="1" t="s">
        <v>770</v>
      </c>
      <c r="K369">
        <v>106489666</v>
      </c>
      <c r="L369" s="2">
        <v>44235</v>
      </c>
      <c r="M369">
        <v>30</v>
      </c>
      <c r="N369">
        <v>1</v>
      </c>
      <c r="O369">
        <v>8</v>
      </c>
      <c r="P369">
        <v>1</v>
      </c>
      <c r="Q369" t="s">
        <v>3</v>
      </c>
    </row>
    <row r="370" spans="1:17">
      <c r="A370" t="s">
        <v>970</v>
      </c>
      <c r="B370" s="672" t="s">
        <v>965</v>
      </c>
      <c r="C370">
        <v>0</v>
      </c>
      <c r="E370" t="s">
        <v>981</v>
      </c>
      <c r="F370" t="s">
        <v>972</v>
      </c>
      <c r="G370" s="672" t="s">
        <v>962</v>
      </c>
      <c r="H370">
        <v>1.411</v>
      </c>
      <c r="J370" s="1" t="s">
        <v>770</v>
      </c>
      <c r="K370">
        <v>107515439</v>
      </c>
      <c r="L370" s="2">
        <v>45234</v>
      </c>
      <c r="M370">
        <v>30</v>
      </c>
      <c r="N370">
        <v>1</v>
      </c>
      <c r="O370">
        <v>8</v>
      </c>
      <c r="P370">
        <v>1</v>
      </c>
      <c r="Q370" t="s">
        <v>7</v>
      </c>
    </row>
    <row r="371" spans="1:17">
      <c r="A371" t="s">
        <v>970</v>
      </c>
      <c r="B371" s="672" t="s">
        <v>965</v>
      </c>
      <c r="C371">
        <v>0</v>
      </c>
      <c r="E371" t="s">
        <v>981</v>
      </c>
      <c r="F371" t="s">
        <v>980</v>
      </c>
      <c r="G371" s="672" t="s">
        <v>962</v>
      </c>
      <c r="H371">
        <v>1.411</v>
      </c>
      <c r="J371" s="1" t="s">
        <v>770</v>
      </c>
      <c r="K371">
        <v>108562132</v>
      </c>
      <c r="L371" s="2">
        <v>46220</v>
      </c>
      <c r="M371">
        <v>21</v>
      </c>
      <c r="N371">
        <v>1</v>
      </c>
      <c r="O371">
        <v>8</v>
      </c>
      <c r="P371">
        <v>1</v>
      </c>
      <c r="Q371" t="s">
        <v>3</v>
      </c>
    </row>
    <row r="372" spans="1:17">
      <c r="A372" t="s">
        <v>970</v>
      </c>
      <c r="B372" s="672" t="s">
        <v>965</v>
      </c>
      <c r="C372">
        <v>0.28000000000000003</v>
      </c>
      <c r="D372" t="s">
        <v>756</v>
      </c>
      <c r="E372" t="s">
        <v>972</v>
      </c>
      <c r="F372" t="s">
        <v>971</v>
      </c>
      <c r="G372" s="672" t="s">
        <v>962</v>
      </c>
      <c r="H372">
        <v>1.611</v>
      </c>
      <c r="J372" s="1" t="s">
        <v>770</v>
      </c>
      <c r="K372">
        <v>106367037</v>
      </c>
      <c r="L372" s="2">
        <v>44117</v>
      </c>
      <c r="M372">
        <v>30</v>
      </c>
      <c r="N372">
        <v>1</v>
      </c>
      <c r="O372">
        <v>0</v>
      </c>
      <c r="P372">
        <v>1</v>
      </c>
      <c r="Q372" t="s">
        <v>7</v>
      </c>
    </row>
    <row r="373" spans="1:17">
      <c r="A373" t="s">
        <v>970</v>
      </c>
      <c r="B373" s="672" t="s">
        <v>965</v>
      </c>
      <c r="C373">
        <v>9.5000000000000001E-2</v>
      </c>
      <c r="D373" t="s">
        <v>758</v>
      </c>
      <c r="E373" t="s">
        <v>980</v>
      </c>
      <c r="F373" t="s">
        <v>981</v>
      </c>
      <c r="G373" s="672" t="s">
        <v>962</v>
      </c>
      <c r="H373">
        <v>1.617</v>
      </c>
      <c r="J373" s="1" t="s">
        <v>770</v>
      </c>
      <c r="K373">
        <v>107871653</v>
      </c>
      <c r="L373" s="2">
        <v>45565</v>
      </c>
      <c r="M373">
        <v>21</v>
      </c>
      <c r="N373">
        <v>2</v>
      </c>
      <c r="O373">
        <v>0</v>
      </c>
      <c r="P373">
        <v>1</v>
      </c>
      <c r="Q373" t="s">
        <v>7</v>
      </c>
    </row>
    <row r="374" spans="1:17">
      <c r="A374" t="s">
        <v>970</v>
      </c>
      <c r="B374" s="672" t="s">
        <v>965</v>
      </c>
      <c r="C374">
        <v>0.22</v>
      </c>
      <c r="D374" t="s">
        <v>762</v>
      </c>
      <c r="E374" t="s">
        <v>981</v>
      </c>
      <c r="F374" t="s">
        <v>980</v>
      </c>
      <c r="G374" s="672" t="s">
        <v>962</v>
      </c>
      <c r="H374">
        <v>1.631</v>
      </c>
      <c r="J374" s="1" t="s">
        <v>770</v>
      </c>
      <c r="K374">
        <v>107418388</v>
      </c>
      <c r="L374" s="2">
        <v>45143</v>
      </c>
      <c r="M374">
        <v>28</v>
      </c>
      <c r="N374">
        <v>1</v>
      </c>
      <c r="O374">
        <v>0</v>
      </c>
      <c r="P374">
        <v>1</v>
      </c>
      <c r="Q374" t="s">
        <v>7</v>
      </c>
    </row>
    <row r="375" spans="1:17">
      <c r="A375" t="s">
        <v>970</v>
      </c>
      <c r="B375" s="672" t="s">
        <v>965</v>
      </c>
      <c r="C375">
        <v>0.08</v>
      </c>
      <c r="D375" t="s">
        <v>758</v>
      </c>
      <c r="E375" t="s">
        <v>980</v>
      </c>
      <c r="F375" t="s">
        <v>981</v>
      </c>
      <c r="G375" s="672" t="s">
        <v>962</v>
      </c>
      <c r="H375">
        <v>1.6319999999999999</v>
      </c>
      <c r="J375" s="1" t="s">
        <v>770</v>
      </c>
      <c r="K375">
        <v>107599962</v>
      </c>
      <c r="L375" s="2">
        <v>45309</v>
      </c>
      <c r="M375">
        <v>2</v>
      </c>
      <c r="N375">
        <v>1</v>
      </c>
      <c r="O375">
        <v>14</v>
      </c>
      <c r="P375">
        <v>1</v>
      </c>
      <c r="Q375" t="s">
        <v>7</v>
      </c>
    </row>
    <row r="376" spans="1:17">
      <c r="A376" t="s">
        <v>970</v>
      </c>
      <c r="B376" s="672" t="s">
        <v>965</v>
      </c>
      <c r="C376">
        <v>0.06</v>
      </c>
      <c r="D376" t="s">
        <v>758</v>
      </c>
      <c r="E376" t="s">
        <v>980</v>
      </c>
      <c r="F376" t="s">
        <v>1009</v>
      </c>
      <c r="G376" s="672" t="s">
        <v>962</v>
      </c>
      <c r="H376">
        <v>1.6519999999999999</v>
      </c>
      <c r="J376" s="1" t="s">
        <v>770</v>
      </c>
      <c r="K376">
        <v>107482672</v>
      </c>
      <c r="L376" s="2">
        <v>45204</v>
      </c>
      <c r="M376">
        <v>28</v>
      </c>
      <c r="N376">
        <v>1</v>
      </c>
      <c r="O376">
        <v>0</v>
      </c>
      <c r="P376">
        <v>1</v>
      </c>
      <c r="Q376" t="s">
        <v>7</v>
      </c>
    </row>
    <row r="377" spans="1:17">
      <c r="A377" t="s">
        <v>970</v>
      </c>
      <c r="B377" s="672" t="s">
        <v>965</v>
      </c>
      <c r="C377">
        <v>0.06</v>
      </c>
      <c r="D377" t="s">
        <v>765</v>
      </c>
      <c r="E377" t="s">
        <v>980</v>
      </c>
      <c r="F377" t="s">
        <v>981</v>
      </c>
      <c r="G377" s="672" t="s">
        <v>962</v>
      </c>
      <c r="H377">
        <v>1.6519999999999999</v>
      </c>
      <c r="J377" s="1" t="s">
        <v>770</v>
      </c>
      <c r="K377">
        <v>108071000</v>
      </c>
      <c r="L377" s="2">
        <v>45750</v>
      </c>
      <c r="M377">
        <v>28</v>
      </c>
      <c r="N377">
        <v>1</v>
      </c>
      <c r="O377">
        <v>0</v>
      </c>
      <c r="P377">
        <v>1</v>
      </c>
      <c r="Q377" t="s">
        <v>7</v>
      </c>
    </row>
    <row r="378" spans="1:17">
      <c r="A378" t="s">
        <v>970</v>
      </c>
      <c r="B378" s="672" t="s">
        <v>965</v>
      </c>
      <c r="C378">
        <v>5.7000000000000002E-2</v>
      </c>
      <c r="D378" t="s">
        <v>758</v>
      </c>
      <c r="E378" t="s">
        <v>980</v>
      </c>
      <c r="F378" t="s">
        <v>981</v>
      </c>
      <c r="G378" s="672" t="s">
        <v>962</v>
      </c>
      <c r="H378">
        <v>1.655</v>
      </c>
      <c r="J378" s="1" t="s">
        <v>770</v>
      </c>
      <c r="K378">
        <v>108163258</v>
      </c>
      <c r="L378" s="2">
        <v>45840</v>
      </c>
      <c r="M378">
        <v>28</v>
      </c>
      <c r="N378">
        <v>1</v>
      </c>
      <c r="O378">
        <v>12</v>
      </c>
      <c r="P378">
        <v>1</v>
      </c>
      <c r="Q378" t="s">
        <v>7</v>
      </c>
    </row>
    <row r="379" spans="1:17">
      <c r="A379" t="s">
        <v>970</v>
      </c>
      <c r="B379" t="s">
        <v>980</v>
      </c>
      <c r="C379">
        <v>0</v>
      </c>
      <c r="E379" s="672" t="s">
        <v>965</v>
      </c>
      <c r="F379" t="s">
        <v>981</v>
      </c>
      <c r="G379" s="672" t="s">
        <v>962</v>
      </c>
      <c r="H379">
        <v>1.712</v>
      </c>
      <c r="J379" s="1" t="s">
        <v>770</v>
      </c>
      <c r="K379">
        <v>105567593</v>
      </c>
      <c r="L379" s="2">
        <v>43323</v>
      </c>
      <c r="M379">
        <v>19</v>
      </c>
      <c r="N379">
        <v>1</v>
      </c>
      <c r="O379">
        <v>8</v>
      </c>
      <c r="P379">
        <v>1</v>
      </c>
      <c r="Q379" t="s">
        <v>7</v>
      </c>
    </row>
    <row r="380" spans="1:17">
      <c r="A380" t="s">
        <v>970</v>
      </c>
      <c r="B380" s="672" t="s">
        <v>965</v>
      </c>
      <c r="C380">
        <v>0</v>
      </c>
      <c r="E380" t="s">
        <v>980</v>
      </c>
      <c r="F380" t="s">
        <v>1007</v>
      </c>
      <c r="G380" s="672" t="s">
        <v>962</v>
      </c>
      <c r="H380">
        <v>1.712</v>
      </c>
      <c r="J380" s="1" t="s">
        <v>770</v>
      </c>
      <c r="K380">
        <v>108126315</v>
      </c>
      <c r="L380" s="2">
        <v>45806</v>
      </c>
      <c r="M380">
        <v>30</v>
      </c>
      <c r="N380">
        <v>1</v>
      </c>
      <c r="O380">
        <v>7</v>
      </c>
      <c r="P380">
        <v>1</v>
      </c>
      <c r="Q380" t="s">
        <v>8</v>
      </c>
    </row>
    <row r="381" spans="1:17">
      <c r="A381" t="s">
        <v>970</v>
      </c>
      <c r="B381" s="672" t="s">
        <v>965</v>
      </c>
      <c r="C381">
        <v>2.7E-2</v>
      </c>
      <c r="D381" t="s">
        <v>6</v>
      </c>
      <c r="E381" t="s">
        <v>980</v>
      </c>
      <c r="F381" t="s">
        <v>978</v>
      </c>
      <c r="G381" s="672" t="s">
        <v>962</v>
      </c>
      <c r="H381">
        <v>1.7390000000000001</v>
      </c>
      <c r="J381" s="1" t="s">
        <v>770</v>
      </c>
      <c r="K381">
        <v>108429922</v>
      </c>
      <c r="L381" s="2">
        <v>46094</v>
      </c>
      <c r="M381">
        <v>30</v>
      </c>
      <c r="N381">
        <v>1</v>
      </c>
      <c r="O381">
        <v>0</v>
      </c>
      <c r="P381">
        <v>1</v>
      </c>
      <c r="Q381" t="s">
        <v>3</v>
      </c>
    </row>
    <row r="382" spans="1:17">
      <c r="A382" t="s">
        <v>970</v>
      </c>
      <c r="B382" s="672" t="s">
        <v>965</v>
      </c>
      <c r="C382">
        <v>9.5000000000000001E-2</v>
      </c>
      <c r="D382" t="s">
        <v>6</v>
      </c>
      <c r="E382" t="s">
        <v>980</v>
      </c>
      <c r="F382" t="s">
        <v>985</v>
      </c>
      <c r="G382" s="672" t="s">
        <v>962</v>
      </c>
      <c r="H382">
        <v>1.8069999999999999</v>
      </c>
      <c r="J382" s="1" t="s">
        <v>770</v>
      </c>
      <c r="K382">
        <v>106964506</v>
      </c>
      <c r="L382" s="2">
        <v>44704</v>
      </c>
      <c r="M382">
        <v>2</v>
      </c>
      <c r="N382">
        <v>1</v>
      </c>
      <c r="O382">
        <v>14</v>
      </c>
      <c r="P382">
        <v>5</v>
      </c>
      <c r="Q382" t="s">
        <v>7</v>
      </c>
    </row>
    <row r="383" spans="1:17">
      <c r="A383" t="s">
        <v>754</v>
      </c>
      <c r="B383" s="672" t="s">
        <v>962</v>
      </c>
      <c r="C383">
        <v>9.0999999999999998E-2</v>
      </c>
      <c r="D383" t="s">
        <v>758</v>
      </c>
      <c r="E383" s="674" t="s">
        <v>975</v>
      </c>
      <c r="F383" t="s">
        <v>980</v>
      </c>
      <c r="G383" s="672" t="s">
        <v>962</v>
      </c>
      <c r="H383">
        <v>1.8109999999999999</v>
      </c>
      <c r="J383" s="1" t="s">
        <v>770</v>
      </c>
      <c r="K383">
        <v>106555605</v>
      </c>
      <c r="L383" s="2">
        <v>44310</v>
      </c>
      <c r="M383">
        <v>21</v>
      </c>
      <c r="N383">
        <v>2</v>
      </c>
      <c r="O383">
        <v>0</v>
      </c>
      <c r="P383">
        <v>1</v>
      </c>
      <c r="Q383" t="s">
        <v>3</v>
      </c>
    </row>
    <row r="384" spans="1:17">
      <c r="A384" t="s">
        <v>754</v>
      </c>
      <c r="B384" s="672" t="s">
        <v>965</v>
      </c>
      <c r="C384">
        <v>0.1</v>
      </c>
      <c r="D384" t="s">
        <v>756</v>
      </c>
      <c r="E384" t="s">
        <v>980</v>
      </c>
      <c r="F384" s="674" t="s">
        <v>1080</v>
      </c>
      <c r="G384" s="672" t="s">
        <v>962</v>
      </c>
      <c r="H384">
        <v>1.8120000000000001</v>
      </c>
      <c r="J384" s="1" t="s">
        <v>770</v>
      </c>
      <c r="K384">
        <v>107028457</v>
      </c>
      <c r="L384" s="2">
        <v>44760</v>
      </c>
      <c r="M384">
        <v>21</v>
      </c>
      <c r="N384">
        <v>1</v>
      </c>
      <c r="O384">
        <v>0</v>
      </c>
      <c r="P384">
        <v>5</v>
      </c>
      <c r="Q384" t="s">
        <v>7</v>
      </c>
    </row>
    <row r="385" spans="1:22">
      <c r="A385" t="s">
        <v>970</v>
      </c>
      <c r="B385" s="672" t="s">
        <v>965</v>
      </c>
      <c r="C385">
        <v>5.7000000000000002E-2</v>
      </c>
      <c r="D385" t="s">
        <v>758</v>
      </c>
      <c r="E385" s="674" t="s">
        <v>975</v>
      </c>
      <c r="F385" t="s">
        <v>987</v>
      </c>
      <c r="G385" s="672" t="s">
        <v>962</v>
      </c>
      <c r="H385">
        <v>1.845</v>
      </c>
      <c r="J385" s="1" t="s">
        <v>770</v>
      </c>
      <c r="K385">
        <v>105258060</v>
      </c>
      <c r="L385" s="2">
        <v>43026</v>
      </c>
      <c r="M385">
        <v>17</v>
      </c>
      <c r="N385">
        <v>1</v>
      </c>
      <c r="O385">
        <v>0</v>
      </c>
      <c r="P385">
        <v>1</v>
      </c>
    </row>
    <row r="386" spans="1:22">
      <c r="A386" t="s">
        <v>754</v>
      </c>
      <c r="B386" s="672" t="s">
        <v>962</v>
      </c>
      <c r="C386">
        <v>0.3</v>
      </c>
      <c r="D386" t="s">
        <v>758</v>
      </c>
      <c r="E386" s="674" t="s">
        <v>968</v>
      </c>
      <c r="F386" t="s">
        <v>973</v>
      </c>
      <c r="G386" s="672" t="s">
        <v>962</v>
      </c>
      <c r="H386">
        <v>1.8919999999999999</v>
      </c>
      <c r="J386" s="1" t="s">
        <v>770</v>
      </c>
      <c r="K386">
        <v>106638733</v>
      </c>
      <c r="L386" s="2">
        <v>44391</v>
      </c>
      <c r="M386">
        <v>21</v>
      </c>
      <c r="N386">
        <v>1</v>
      </c>
      <c r="O386">
        <v>12</v>
      </c>
      <c r="P386">
        <v>1</v>
      </c>
      <c r="Q386" t="s">
        <v>3</v>
      </c>
    </row>
    <row r="387" spans="1:22">
      <c r="A387" t="s">
        <v>754</v>
      </c>
      <c r="B387" s="672" t="s">
        <v>962</v>
      </c>
      <c r="C387">
        <v>0.3</v>
      </c>
      <c r="D387" t="s">
        <v>758</v>
      </c>
      <c r="E387" s="674" t="s">
        <v>968</v>
      </c>
      <c r="F387" t="s">
        <v>973</v>
      </c>
      <c r="G387" s="672" t="s">
        <v>962</v>
      </c>
      <c r="H387">
        <v>1.8919999999999999</v>
      </c>
      <c r="J387" s="1" t="s">
        <v>770</v>
      </c>
      <c r="K387">
        <v>106863997</v>
      </c>
      <c r="L387" s="2">
        <v>44602</v>
      </c>
      <c r="M387">
        <v>21</v>
      </c>
      <c r="N387">
        <v>1</v>
      </c>
      <c r="O387">
        <v>8</v>
      </c>
      <c r="P387">
        <v>1</v>
      </c>
      <c r="Q387" t="s">
        <v>7</v>
      </c>
    </row>
    <row r="388" spans="1:22">
      <c r="A388" t="s">
        <v>754</v>
      </c>
      <c r="B388" s="672" t="s">
        <v>962</v>
      </c>
      <c r="C388">
        <v>2E-3</v>
      </c>
      <c r="D388" t="s">
        <v>758</v>
      </c>
      <c r="E388" s="674" t="s">
        <v>1003</v>
      </c>
      <c r="F388" t="s">
        <v>1004</v>
      </c>
      <c r="G388" s="672" t="s">
        <v>962</v>
      </c>
      <c r="H388">
        <v>1.9</v>
      </c>
      <c r="J388" s="1" t="s">
        <v>770</v>
      </c>
      <c r="K388">
        <v>106820436</v>
      </c>
      <c r="L388" s="2">
        <v>44561</v>
      </c>
      <c r="M388">
        <v>21</v>
      </c>
      <c r="N388">
        <v>1</v>
      </c>
      <c r="O388">
        <v>12</v>
      </c>
      <c r="P388">
        <v>1</v>
      </c>
      <c r="Q388" t="s">
        <v>3</v>
      </c>
    </row>
    <row r="389" spans="1:22">
      <c r="A389" t="s">
        <v>1021</v>
      </c>
      <c r="B389" s="674" t="s">
        <v>975</v>
      </c>
      <c r="C389">
        <v>0</v>
      </c>
      <c r="E389" s="672" t="s">
        <v>965</v>
      </c>
      <c r="G389" s="672" t="s">
        <v>962</v>
      </c>
      <c r="H389">
        <v>1.9019999999999999</v>
      </c>
      <c r="J389" s="1" t="s">
        <v>770</v>
      </c>
      <c r="K389">
        <v>108392108</v>
      </c>
      <c r="L389" s="2">
        <v>46058</v>
      </c>
      <c r="M389">
        <v>31</v>
      </c>
      <c r="N389">
        <v>1</v>
      </c>
      <c r="O389">
        <v>8</v>
      </c>
      <c r="P389">
        <v>1</v>
      </c>
      <c r="Q389" t="s">
        <v>7</v>
      </c>
    </row>
    <row r="390" spans="1:22">
      <c r="A390" t="s">
        <v>1021</v>
      </c>
      <c r="B390" s="672" t="s">
        <v>965</v>
      </c>
      <c r="C390">
        <v>0</v>
      </c>
      <c r="E390" s="674" t="s">
        <v>975</v>
      </c>
      <c r="F390" s="674" t="s">
        <v>968</v>
      </c>
      <c r="G390" s="672" t="s">
        <v>962</v>
      </c>
      <c r="H390">
        <v>1.9019999999999999</v>
      </c>
      <c r="J390" s="1" t="s">
        <v>770</v>
      </c>
      <c r="K390">
        <v>104951394</v>
      </c>
      <c r="L390" s="2">
        <v>42720</v>
      </c>
      <c r="M390">
        <v>21</v>
      </c>
      <c r="N390">
        <v>1</v>
      </c>
      <c r="O390">
        <v>8</v>
      </c>
      <c r="P390">
        <v>1</v>
      </c>
      <c r="Q390" t="s">
        <v>7</v>
      </c>
    </row>
    <row r="391" spans="1:22">
      <c r="A391" t="s">
        <v>754</v>
      </c>
      <c r="B391" s="672" t="s">
        <v>965</v>
      </c>
      <c r="C391">
        <v>0</v>
      </c>
      <c r="E391" s="674" t="s">
        <v>975</v>
      </c>
      <c r="F391" s="674" t="s">
        <v>968</v>
      </c>
      <c r="G391" s="672" t="s">
        <v>962</v>
      </c>
      <c r="H391">
        <v>1.9019999999999999</v>
      </c>
      <c r="J391" s="1" t="s">
        <v>770</v>
      </c>
      <c r="K391">
        <v>105941272</v>
      </c>
      <c r="L391" s="2">
        <v>43676</v>
      </c>
      <c r="M391">
        <v>21</v>
      </c>
      <c r="N391">
        <v>1</v>
      </c>
      <c r="O391">
        <v>8</v>
      </c>
      <c r="P391">
        <v>1</v>
      </c>
      <c r="Q391" t="s">
        <v>7</v>
      </c>
    </row>
    <row r="392" spans="1:22">
      <c r="A392" t="s">
        <v>1021</v>
      </c>
      <c r="B392" s="672" t="s">
        <v>962</v>
      </c>
      <c r="C392">
        <v>0</v>
      </c>
      <c r="E392" s="674" t="s">
        <v>975</v>
      </c>
      <c r="F392" t="s">
        <v>973</v>
      </c>
      <c r="G392" s="672" t="s">
        <v>962</v>
      </c>
      <c r="H392">
        <v>1.9019999999999999</v>
      </c>
      <c r="J392" s="1" t="s">
        <v>770</v>
      </c>
      <c r="K392">
        <v>106123663</v>
      </c>
      <c r="L392" s="2">
        <v>43833</v>
      </c>
      <c r="M392">
        <v>21</v>
      </c>
      <c r="N392">
        <v>2</v>
      </c>
      <c r="O392">
        <v>12</v>
      </c>
      <c r="P392">
        <v>1</v>
      </c>
      <c r="Q392" t="s">
        <v>7</v>
      </c>
    </row>
    <row r="393" spans="1:22">
      <c r="A393" t="s">
        <v>754</v>
      </c>
      <c r="B393" s="672" t="s">
        <v>962</v>
      </c>
      <c r="C393">
        <v>0</v>
      </c>
      <c r="E393" s="674" t="s">
        <v>975</v>
      </c>
      <c r="F393" t="s">
        <v>973</v>
      </c>
      <c r="G393" s="672" t="s">
        <v>962</v>
      </c>
      <c r="H393">
        <v>1.9019999999999999</v>
      </c>
      <c r="J393" s="1" t="s">
        <v>770</v>
      </c>
      <c r="K393">
        <v>106428434</v>
      </c>
      <c r="L393" s="2">
        <v>44169</v>
      </c>
      <c r="M393">
        <v>21</v>
      </c>
      <c r="N393">
        <v>1</v>
      </c>
      <c r="O393">
        <v>0</v>
      </c>
      <c r="P393">
        <v>1</v>
      </c>
      <c r="Q393" t="s">
        <v>7</v>
      </c>
    </row>
    <row r="394" spans="1:22">
      <c r="A394" t="s">
        <v>754</v>
      </c>
      <c r="B394" s="672" t="s">
        <v>962</v>
      </c>
      <c r="C394">
        <v>0</v>
      </c>
      <c r="E394" s="674" t="s">
        <v>1003</v>
      </c>
      <c r="F394" s="674" t="s">
        <v>968</v>
      </c>
      <c r="G394" s="672" t="s">
        <v>962</v>
      </c>
      <c r="H394">
        <v>1.9019999999999999</v>
      </c>
      <c r="J394" s="1" t="s">
        <v>770</v>
      </c>
      <c r="K394">
        <v>107025244</v>
      </c>
      <c r="L394" s="2">
        <v>44764</v>
      </c>
      <c r="M394">
        <v>22</v>
      </c>
      <c r="N394">
        <v>1</v>
      </c>
      <c r="O394">
        <v>8</v>
      </c>
      <c r="P394">
        <v>1</v>
      </c>
      <c r="Q394" t="s">
        <v>3</v>
      </c>
    </row>
    <row r="395" spans="1:22">
      <c r="A395" t="s">
        <v>754</v>
      </c>
      <c r="B395" s="672" t="s">
        <v>962</v>
      </c>
      <c r="C395">
        <v>4.9000000000000002E-2</v>
      </c>
      <c r="D395" t="s">
        <v>758</v>
      </c>
      <c r="E395" s="674" t="s">
        <v>977</v>
      </c>
      <c r="F395" t="s">
        <v>1166</v>
      </c>
      <c r="G395" s="672" t="s">
        <v>962</v>
      </c>
      <c r="H395">
        <v>1.9390000000000001</v>
      </c>
      <c r="J395" s="1" t="s">
        <v>770</v>
      </c>
      <c r="K395">
        <v>108248343</v>
      </c>
      <c r="L395" s="2">
        <v>45929</v>
      </c>
      <c r="M395">
        <v>21</v>
      </c>
      <c r="N395">
        <v>2</v>
      </c>
      <c r="O395">
        <v>0</v>
      </c>
      <c r="P395">
        <v>1</v>
      </c>
      <c r="Q395" t="s">
        <v>3</v>
      </c>
      <c r="R395">
        <v>35.176949999999998</v>
      </c>
      <c r="S395">
        <v>-79.435969999999998</v>
      </c>
      <c r="T395" t="s">
        <v>761</v>
      </c>
      <c r="U395" t="s">
        <v>367</v>
      </c>
      <c r="V395">
        <v>0.46050000000000002</v>
      </c>
    </row>
    <row r="396" spans="1:22">
      <c r="A396" t="s">
        <v>1021</v>
      </c>
      <c r="B396" s="672" t="s">
        <v>962</v>
      </c>
      <c r="C396">
        <v>8.9999999999999993E-3</v>
      </c>
      <c r="D396" t="s">
        <v>758</v>
      </c>
      <c r="E396" s="674" t="s">
        <v>977</v>
      </c>
      <c r="F396" t="s">
        <v>971</v>
      </c>
      <c r="G396" s="672" t="s">
        <v>962</v>
      </c>
      <c r="H396">
        <v>1.9790000000000001</v>
      </c>
      <c r="J396" s="1" t="s">
        <v>770</v>
      </c>
      <c r="K396">
        <v>106112484</v>
      </c>
      <c r="L396" s="2">
        <v>43829</v>
      </c>
      <c r="M396">
        <v>21</v>
      </c>
      <c r="N396">
        <v>1</v>
      </c>
      <c r="O396">
        <v>0</v>
      </c>
      <c r="P396">
        <v>1</v>
      </c>
      <c r="Q396" t="s">
        <v>7</v>
      </c>
    </row>
    <row r="397" spans="1:22">
      <c r="A397" t="s">
        <v>1021</v>
      </c>
      <c r="B397" s="672" t="s">
        <v>962</v>
      </c>
      <c r="C397">
        <v>2E-3</v>
      </c>
      <c r="D397" t="s">
        <v>758</v>
      </c>
      <c r="E397" s="674" t="s">
        <v>977</v>
      </c>
      <c r="F397" s="674" t="s">
        <v>975</v>
      </c>
      <c r="G397" s="672" t="s">
        <v>962</v>
      </c>
      <c r="H397">
        <v>1.986</v>
      </c>
      <c r="J397" s="1" t="s">
        <v>770</v>
      </c>
      <c r="K397">
        <v>105149399</v>
      </c>
      <c r="L397" s="2">
        <v>42902</v>
      </c>
      <c r="M397">
        <v>21</v>
      </c>
      <c r="N397">
        <v>1</v>
      </c>
      <c r="O397">
        <v>0</v>
      </c>
      <c r="P397">
        <v>1</v>
      </c>
      <c r="Q397" t="s">
        <v>3</v>
      </c>
    </row>
    <row r="398" spans="1:22">
      <c r="A398" t="s">
        <v>1021</v>
      </c>
      <c r="B398" s="672" t="s">
        <v>965</v>
      </c>
      <c r="C398">
        <v>0</v>
      </c>
      <c r="E398" s="674" t="s">
        <v>977</v>
      </c>
      <c r="F398" s="674" t="s">
        <v>968</v>
      </c>
      <c r="G398" s="672" t="s">
        <v>962</v>
      </c>
      <c r="H398">
        <v>1.988</v>
      </c>
      <c r="J398" s="1" t="s">
        <v>770</v>
      </c>
      <c r="K398">
        <v>108252091</v>
      </c>
      <c r="L398" s="2">
        <v>45934</v>
      </c>
      <c r="M398">
        <v>17</v>
      </c>
      <c r="N398">
        <v>1</v>
      </c>
      <c r="O398">
        <v>8</v>
      </c>
      <c r="P398">
        <v>1</v>
      </c>
      <c r="Q398" t="s">
        <v>7</v>
      </c>
    </row>
    <row r="399" spans="1:22">
      <c r="A399" t="s">
        <v>1021</v>
      </c>
      <c r="B399" s="672" t="s">
        <v>965</v>
      </c>
      <c r="C399">
        <v>0</v>
      </c>
      <c r="E399" s="674" t="s">
        <v>977</v>
      </c>
      <c r="F399" s="674" t="s">
        <v>968</v>
      </c>
      <c r="G399" s="672" t="s">
        <v>962</v>
      </c>
      <c r="H399">
        <v>1.988</v>
      </c>
      <c r="J399" s="1" t="s">
        <v>770</v>
      </c>
      <c r="K399">
        <v>107519842</v>
      </c>
      <c r="L399" s="2">
        <v>45237</v>
      </c>
      <c r="M399">
        <v>22</v>
      </c>
      <c r="N399">
        <v>1</v>
      </c>
      <c r="O399">
        <v>8</v>
      </c>
      <c r="P399">
        <v>1</v>
      </c>
      <c r="Q399" t="s">
        <v>7</v>
      </c>
    </row>
    <row r="400" spans="1:22">
      <c r="A400" t="s">
        <v>1021</v>
      </c>
      <c r="B400" s="672" t="s">
        <v>965</v>
      </c>
      <c r="C400">
        <v>0</v>
      </c>
      <c r="E400" s="674" t="s">
        <v>977</v>
      </c>
      <c r="F400" s="674" t="s">
        <v>968</v>
      </c>
      <c r="G400" s="672" t="s">
        <v>962</v>
      </c>
      <c r="H400">
        <v>1.988</v>
      </c>
      <c r="J400" s="1" t="s">
        <v>770</v>
      </c>
      <c r="K400">
        <v>105155943</v>
      </c>
      <c r="L400" s="2">
        <v>42923</v>
      </c>
      <c r="M400">
        <v>24</v>
      </c>
      <c r="N400">
        <v>1</v>
      </c>
      <c r="O400">
        <v>8</v>
      </c>
      <c r="P400">
        <v>1</v>
      </c>
      <c r="Q400" t="s">
        <v>3</v>
      </c>
    </row>
    <row r="401" spans="1:22">
      <c r="A401" t="s">
        <v>754</v>
      </c>
      <c r="B401" s="672" t="s">
        <v>962</v>
      </c>
      <c r="C401">
        <v>0</v>
      </c>
      <c r="E401" s="674" t="s">
        <v>977</v>
      </c>
      <c r="F401" s="674" t="s">
        <v>968</v>
      </c>
      <c r="G401" s="672" t="s">
        <v>962</v>
      </c>
      <c r="H401">
        <v>1.988</v>
      </c>
      <c r="J401" s="1" t="s">
        <v>770</v>
      </c>
      <c r="K401">
        <v>106912986</v>
      </c>
      <c r="L401" s="2">
        <v>44653</v>
      </c>
      <c r="M401">
        <v>21</v>
      </c>
      <c r="N401">
        <v>1</v>
      </c>
      <c r="O401">
        <v>0</v>
      </c>
      <c r="P401">
        <v>1</v>
      </c>
      <c r="Q401" t="s">
        <v>7</v>
      </c>
    </row>
    <row r="402" spans="1:22">
      <c r="A402" t="s">
        <v>754</v>
      </c>
      <c r="B402" s="672" t="s">
        <v>962</v>
      </c>
      <c r="C402">
        <v>0</v>
      </c>
      <c r="D402" t="s">
        <v>756</v>
      </c>
      <c r="E402" s="674" t="s">
        <v>977</v>
      </c>
      <c r="F402" s="674" t="s">
        <v>968</v>
      </c>
      <c r="G402" s="672" t="s">
        <v>962</v>
      </c>
      <c r="H402">
        <v>1.988</v>
      </c>
      <c r="J402" s="1" t="s">
        <v>770</v>
      </c>
      <c r="K402">
        <v>108449039</v>
      </c>
      <c r="L402" s="2">
        <v>46106</v>
      </c>
      <c r="M402">
        <v>21</v>
      </c>
      <c r="N402">
        <v>1</v>
      </c>
      <c r="O402">
        <v>8</v>
      </c>
      <c r="P402">
        <v>1</v>
      </c>
      <c r="Q402" t="s">
        <v>7</v>
      </c>
      <c r="R402">
        <v>35.177729999999997</v>
      </c>
      <c r="S402">
        <v>-79.434629999999999</v>
      </c>
      <c r="T402" t="s">
        <v>761</v>
      </c>
      <c r="U402" t="s">
        <v>367</v>
      </c>
      <c r="V402">
        <v>0.37809999999999999</v>
      </c>
    </row>
    <row r="403" spans="1:22">
      <c r="A403" t="s">
        <v>1021</v>
      </c>
      <c r="B403" s="672" t="s">
        <v>962</v>
      </c>
      <c r="C403">
        <v>0</v>
      </c>
      <c r="E403" s="674" t="s">
        <v>977</v>
      </c>
      <c r="F403" s="674" t="s">
        <v>968</v>
      </c>
      <c r="G403" s="672" t="s">
        <v>962</v>
      </c>
      <c r="H403">
        <v>1.988</v>
      </c>
      <c r="J403" s="1" t="s">
        <v>770</v>
      </c>
      <c r="K403">
        <v>105144806</v>
      </c>
      <c r="L403" s="2">
        <v>42912</v>
      </c>
      <c r="M403">
        <v>24</v>
      </c>
      <c r="N403">
        <v>1</v>
      </c>
      <c r="O403">
        <v>8</v>
      </c>
      <c r="P403">
        <v>1</v>
      </c>
      <c r="Q403" t="s">
        <v>7</v>
      </c>
    </row>
    <row r="404" spans="1:22">
      <c r="A404" t="s">
        <v>754</v>
      </c>
      <c r="B404" s="672" t="s">
        <v>962</v>
      </c>
      <c r="C404">
        <v>0</v>
      </c>
      <c r="E404" s="674" t="s">
        <v>977</v>
      </c>
      <c r="F404" s="674" t="s">
        <v>968</v>
      </c>
      <c r="G404" s="672" t="s">
        <v>962</v>
      </c>
      <c r="H404">
        <v>1.988</v>
      </c>
      <c r="J404" s="1" t="s">
        <v>770</v>
      </c>
      <c r="K404">
        <v>106445335</v>
      </c>
      <c r="L404" s="2">
        <v>44183</v>
      </c>
      <c r="M404">
        <v>26</v>
      </c>
      <c r="N404">
        <v>1</v>
      </c>
      <c r="O404">
        <v>8</v>
      </c>
      <c r="P404">
        <v>1</v>
      </c>
      <c r="Q404" t="s">
        <v>7</v>
      </c>
    </row>
    <row r="405" spans="1:22">
      <c r="A405" t="s">
        <v>754</v>
      </c>
      <c r="B405" s="672" t="s">
        <v>962</v>
      </c>
      <c r="C405">
        <v>0</v>
      </c>
      <c r="E405" s="674" t="s">
        <v>977</v>
      </c>
      <c r="F405" s="674" t="s">
        <v>1080</v>
      </c>
      <c r="G405" s="672" t="s">
        <v>962</v>
      </c>
      <c r="H405">
        <v>1.988</v>
      </c>
      <c r="J405" s="1" t="s">
        <v>770</v>
      </c>
      <c r="K405">
        <v>105336826</v>
      </c>
      <c r="L405" s="2">
        <v>43083</v>
      </c>
      <c r="M405">
        <v>21</v>
      </c>
      <c r="N405">
        <v>1</v>
      </c>
      <c r="O405">
        <v>0</v>
      </c>
      <c r="P405">
        <v>1</v>
      </c>
      <c r="Q405" t="s">
        <v>7</v>
      </c>
    </row>
    <row r="406" spans="1:22">
      <c r="A406" t="s">
        <v>754</v>
      </c>
      <c r="B406" s="672" t="s">
        <v>962</v>
      </c>
      <c r="C406">
        <v>0</v>
      </c>
      <c r="E406" s="674" t="s">
        <v>977</v>
      </c>
      <c r="G406" s="672" t="s">
        <v>962</v>
      </c>
      <c r="H406">
        <v>1.988</v>
      </c>
      <c r="J406" s="1" t="s">
        <v>770</v>
      </c>
      <c r="K406">
        <v>105292761</v>
      </c>
      <c r="L406" s="2">
        <v>43053</v>
      </c>
      <c r="M406">
        <v>24</v>
      </c>
      <c r="N406">
        <v>1</v>
      </c>
      <c r="O406">
        <v>8</v>
      </c>
      <c r="P406">
        <v>1</v>
      </c>
      <c r="Q406" t="s">
        <v>7</v>
      </c>
    </row>
    <row r="407" spans="1:22">
      <c r="A407" t="s">
        <v>754</v>
      </c>
      <c r="B407" s="672" t="s">
        <v>962</v>
      </c>
      <c r="C407">
        <v>0.2</v>
      </c>
      <c r="D407" t="s">
        <v>758</v>
      </c>
      <c r="E407" s="674" t="s">
        <v>968</v>
      </c>
      <c r="F407" s="674" t="s">
        <v>975</v>
      </c>
      <c r="G407" s="672" t="s">
        <v>962</v>
      </c>
      <c r="H407">
        <v>1.992</v>
      </c>
      <c r="J407" s="1" t="s">
        <v>770</v>
      </c>
      <c r="K407">
        <v>107985825</v>
      </c>
      <c r="L407" s="2">
        <v>45665</v>
      </c>
      <c r="M407">
        <v>21</v>
      </c>
      <c r="N407">
        <v>1</v>
      </c>
      <c r="O407">
        <v>0</v>
      </c>
      <c r="P407">
        <v>1</v>
      </c>
      <c r="Q407" t="s">
        <v>7</v>
      </c>
      <c r="R407">
        <v>35.176903000000003</v>
      </c>
      <c r="S407">
        <v>-79.434989999999999</v>
      </c>
      <c r="T407" t="s">
        <v>761</v>
      </c>
      <c r="U407" t="s">
        <v>367</v>
      </c>
      <c r="V407">
        <v>0.40699999999999997</v>
      </c>
    </row>
    <row r="408" spans="1:22">
      <c r="A408" t="s">
        <v>754</v>
      </c>
      <c r="B408" s="672" t="s">
        <v>962</v>
      </c>
      <c r="C408">
        <v>0.2</v>
      </c>
      <c r="D408" t="s">
        <v>758</v>
      </c>
      <c r="E408" s="674" t="s">
        <v>968</v>
      </c>
      <c r="F408" t="s">
        <v>969</v>
      </c>
      <c r="G408" s="672" t="s">
        <v>962</v>
      </c>
      <c r="H408">
        <v>1.992</v>
      </c>
      <c r="J408" s="1" t="s">
        <v>770</v>
      </c>
      <c r="K408">
        <v>107982530</v>
      </c>
      <c r="L408" s="2">
        <v>45664</v>
      </c>
      <c r="M408">
        <v>28</v>
      </c>
      <c r="N408">
        <v>1</v>
      </c>
      <c r="O408">
        <v>0</v>
      </c>
      <c r="P408">
        <v>1</v>
      </c>
      <c r="Q408" t="s">
        <v>3</v>
      </c>
      <c r="R408">
        <v>35.176963999999998</v>
      </c>
      <c r="S408">
        <v>-79.434920000000005</v>
      </c>
      <c r="T408" t="s">
        <v>761</v>
      </c>
      <c r="U408" t="s">
        <v>367</v>
      </c>
      <c r="V408">
        <v>0.4022</v>
      </c>
    </row>
    <row r="409" spans="1:22">
      <c r="A409" t="s">
        <v>754</v>
      </c>
      <c r="B409" s="672" t="s">
        <v>962</v>
      </c>
      <c r="C409">
        <v>0.2</v>
      </c>
      <c r="D409" t="s">
        <v>758</v>
      </c>
      <c r="E409" s="674" t="s">
        <v>968</v>
      </c>
      <c r="F409" t="s">
        <v>973</v>
      </c>
      <c r="G409" s="672" t="s">
        <v>962</v>
      </c>
      <c r="H409">
        <v>1.992</v>
      </c>
      <c r="J409" s="1" t="s">
        <v>770</v>
      </c>
      <c r="K409">
        <v>106422881</v>
      </c>
      <c r="L409" s="2">
        <v>44159</v>
      </c>
      <c r="M409">
        <v>21</v>
      </c>
      <c r="N409">
        <v>1</v>
      </c>
      <c r="O409">
        <v>4</v>
      </c>
      <c r="P409">
        <v>1</v>
      </c>
      <c r="Q409" t="s">
        <v>8</v>
      </c>
    </row>
    <row r="410" spans="1:22">
      <c r="A410" t="s">
        <v>1021</v>
      </c>
      <c r="B410" s="672" t="s">
        <v>965</v>
      </c>
      <c r="C410">
        <v>0.1</v>
      </c>
      <c r="E410" s="674" t="s">
        <v>975</v>
      </c>
      <c r="F410" s="674" t="s">
        <v>977</v>
      </c>
      <c r="G410" s="672" t="s">
        <v>962</v>
      </c>
      <c r="H410">
        <v>2.0019999999999998</v>
      </c>
      <c r="I410" t="s">
        <v>61</v>
      </c>
      <c r="J410" s="1" t="s">
        <v>770</v>
      </c>
      <c r="K410">
        <v>105950177</v>
      </c>
      <c r="L410" s="2">
        <v>43671</v>
      </c>
      <c r="M410">
        <v>21</v>
      </c>
      <c r="N410">
        <v>1</v>
      </c>
      <c r="O410">
        <v>0</v>
      </c>
      <c r="P410">
        <v>1</v>
      </c>
      <c r="Q410" t="s">
        <v>7</v>
      </c>
    </row>
    <row r="411" spans="1:22">
      <c r="A411" t="s">
        <v>754</v>
      </c>
      <c r="B411" s="672" t="s">
        <v>962</v>
      </c>
      <c r="C411">
        <v>0.19</v>
      </c>
      <c r="D411" t="s">
        <v>758</v>
      </c>
      <c r="E411" s="674" t="s">
        <v>968</v>
      </c>
      <c r="F411" s="674" t="s">
        <v>975</v>
      </c>
      <c r="G411" s="672" t="s">
        <v>962</v>
      </c>
      <c r="H411">
        <v>2.0019999999999998</v>
      </c>
      <c r="J411" s="1" t="s">
        <v>770</v>
      </c>
      <c r="K411">
        <v>108530662</v>
      </c>
      <c r="L411" s="2">
        <v>46185</v>
      </c>
      <c r="M411">
        <v>21</v>
      </c>
      <c r="N411">
        <v>1</v>
      </c>
      <c r="O411">
        <v>0</v>
      </c>
      <c r="P411">
        <v>1</v>
      </c>
      <c r="Q411" t="s">
        <v>7</v>
      </c>
      <c r="R411">
        <v>35.176990000000004</v>
      </c>
      <c r="S411">
        <v>-79.434970000000007</v>
      </c>
      <c r="T411" t="s">
        <v>755</v>
      </c>
      <c r="U411" t="s">
        <v>367</v>
      </c>
      <c r="V411">
        <v>0.40460000000000002</v>
      </c>
    </row>
    <row r="412" spans="1:22">
      <c r="A412" t="s">
        <v>1021</v>
      </c>
      <c r="B412" s="672" t="s">
        <v>965</v>
      </c>
      <c r="C412">
        <v>4.7E-2</v>
      </c>
      <c r="D412" t="s">
        <v>756</v>
      </c>
      <c r="E412" s="674" t="s">
        <v>977</v>
      </c>
      <c r="F412" s="674" t="s">
        <v>1082</v>
      </c>
      <c r="G412" s="672" t="s">
        <v>962</v>
      </c>
      <c r="H412">
        <v>2.0350000000000001</v>
      </c>
      <c r="J412" s="1" t="s">
        <v>770</v>
      </c>
      <c r="K412">
        <v>105312008</v>
      </c>
      <c r="L412" s="2">
        <v>43066</v>
      </c>
      <c r="M412">
        <v>1</v>
      </c>
      <c r="N412">
        <v>1</v>
      </c>
      <c r="O412">
        <v>0</v>
      </c>
      <c r="P412">
        <v>1</v>
      </c>
      <c r="Q412" t="s">
        <v>7</v>
      </c>
    </row>
    <row r="413" spans="1:22">
      <c r="A413" t="s">
        <v>1021</v>
      </c>
      <c r="B413" s="672" t="s">
        <v>965</v>
      </c>
      <c r="C413">
        <v>0.1</v>
      </c>
      <c r="D413" t="s">
        <v>758</v>
      </c>
      <c r="E413" s="674" t="s">
        <v>968</v>
      </c>
      <c r="F413" s="674" t="s">
        <v>977</v>
      </c>
      <c r="G413" s="672" t="s">
        <v>962</v>
      </c>
      <c r="H413">
        <v>2.0920000000000001</v>
      </c>
      <c r="J413" s="1" t="s">
        <v>770</v>
      </c>
      <c r="K413">
        <v>105505253</v>
      </c>
      <c r="L413" s="2">
        <v>43250</v>
      </c>
      <c r="M413">
        <v>28</v>
      </c>
      <c r="N413">
        <v>1</v>
      </c>
      <c r="O413">
        <v>25</v>
      </c>
      <c r="P413">
        <v>1</v>
      </c>
      <c r="Q413" t="s">
        <v>7</v>
      </c>
    </row>
    <row r="414" spans="1:22">
      <c r="A414" t="s">
        <v>1021</v>
      </c>
      <c r="B414" s="672" t="s">
        <v>962</v>
      </c>
      <c r="C414">
        <v>0.1</v>
      </c>
      <c r="D414" t="s">
        <v>758</v>
      </c>
      <c r="E414" s="674" t="s">
        <v>968</v>
      </c>
      <c r="F414" s="674" t="s">
        <v>975</v>
      </c>
      <c r="G414" s="672" t="s">
        <v>962</v>
      </c>
      <c r="H414">
        <v>2.0920000000000001</v>
      </c>
      <c r="J414" s="1" t="s">
        <v>770</v>
      </c>
      <c r="K414">
        <v>105749191</v>
      </c>
      <c r="L414" s="2">
        <v>43484</v>
      </c>
      <c r="M414">
        <v>17</v>
      </c>
      <c r="N414">
        <v>1</v>
      </c>
      <c r="O414">
        <v>0</v>
      </c>
      <c r="P414">
        <v>1</v>
      </c>
      <c r="Q414" t="s">
        <v>7</v>
      </c>
    </row>
    <row r="415" spans="1:22">
      <c r="A415" t="s">
        <v>754</v>
      </c>
      <c r="B415" s="672" t="s">
        <v>962</v>
      </c>
      <c r="C415">
        <v>0.1</v>
      </c>
      <c r="D415" t="s">
        <v>758</v>
      </c>
      <c r="E415" s="674" t="s">
        <v>968</v>
      </c>
      <c r="F415" s="674" t="s">
        <v>975</v>
      </c>
      <c r="G415" s="672" t="s">
        <v>962</v>
      </c>
      <c r="H415">
        <v>2.0920000000000001</v>
      </c>
      <c r="J415" s="1" t="s">
        <v>770</v>
      </c>
      <c r="K415">
        <v>108524655</v>
      </c>
      <c r="L415" s="2">
        <v>46181</v>
      </c>
      <c r="M415">
        <v>18</v>
      </c>
      <c r="N415">
        <v>1</v>
      </c>
      <c r="O415">
        <v>0</v>
      </c>
      <c r="P415">
        <v>1</v>
      </c>
      <c r="Q415" t="s">
        <v>7</v>
      </c>
      <c r="R415">
        <v>35.177050000000001</v>
      </c>
      <c r="S415">
        <v>-79.435509999999994</v>
      </c>
      <c r="T415" t="s">
        <v>755</v>
      </c>
      <c r="U415" t="s">
        <v>367</v>
      </c>
      <c r="V415">
        <v>0.43369999999999997</v>
      </c>
    </row>
    <row r="416" spans="1:22">
      <c r="A416" t="s">
        <v>754</v>
      </c>
      <c r="B416" s="672" t="s">
        <v>962</v>
      </c>
      <c r="C416">
        <v>0.1</v>
      </c>
      <c r="D416" t="s">
        <v>758</v>
      </c>
      <c r="E416" s="674" t="s">
        <v>968</v>
      </c>
      <c r="F416" t="s">
        <v>973</v>
      </c>
      <c r="G416" s="672" t="s">
        <v>962</v>
      </c>
      <c r="H416">
        <v>2.0920000000000001</v>
      </c>
      <c r="J416" s="1" t="s">
        <v>770</v>
      </c>
      <c r="K416">
        <v>105832375</v>
      </c>
      <c r="L416" s="2">
        <v>43566</v>
      </c>
      <c r="M416">
        <v>21</v>
      </c>
      <c r="N416">
        <v>1</v>
      </c>
      <c r="O416">
        <v>0</v>
      </c>
      <c r="P416">
        <v>1</v>
      </c>
      <c r="Q416" t="s">
        <v>3</v>
      </c>
    </row>
    <row r="417" spans="1:22">
      <c r="A417" t="s">
        <v>970</v>
      </c>
      <c r="B417" s="672" t="s">
        <v>962</v>
      </c>
      <c r="C417">
        <v>0.1</v>
      </c>
      <c r="D417" t="s">
        <v>758</v>
      </c>
      <c r="E417" s="674" t="s">
        <v>968</v>
      </c>
      <c r="F417" t="s">
        <v>973</v>
      </c>
      <c r="G417" s="672" t="s">
        <v>962</v>
      </c>
      <c r="H417">
        <v>2.0920000000000001</v>
      </c>
      <c r="J417" s="1" t="s">
        <v>770</v>
      </c>
      <c r="K417">
        <v>106889355</v>
      </c>
      <c r="L417" s="2">
        <v>44625</v>
      </c>
      <c r="M417">
        <v>21</v>
      </c>
      <c r="N417">
        <v>1</v>
      </c>
      <c r="O417">
        <v>0</v>
      </c>
      <c r="P417">
        <v>1</v>
      </c>
      <c r="Q417" t="s">
        <v>7</v>
      </c>
    </row>
    <row r="418" spans="1:22">
      <c r="A418" t="s">
        <v>754</v>
      </c>
      <c r="B418" s="672" t="s">
        <v>962</v>
      </c>
      <c r="C418">
        <v>0.1</v>
      </c>
      <c r="D418" t="s">
        <v>758</v>
      </c>
      <c r="E418" s="674" t="s">
        <v>968</v>
      </c>
      <c r="F418" t="s">
        <v>973</v>
      </c>
      <c r="G418" s="672" t="s">
        <v>962</v>
      </c>
      <c r="H418">
        <v>2.0920000000000001</v>
      </c>
      <c r="J418" s="1" t="s">
        <v>770</v>
      </c>
      <c r="K418">
        <v>108547757</v>
      </c>
      <c r="L418" s="2">
        <v>46204</v>
      </c>
      <c r="M418">
        <v>21</v>
      </c>
      <c r="N418">
        <v>1</v>
      </c>
      <c r="O418">
        <v>0</v>
      </c>
      <c r="P418">
        <v>1</v>
      </c>
      <c r="Q418" t="s">
        <v>7</v>
      </c>
      <c r="R418">
        <v>35.17689</v>
      </c>
      <c r="S418">
        <v>-79.435019999999994</v>
      </c>
      <c r="T418" t="s">
        <v>755</v>
      </c>
      <c r="U418" t="s">
        <v>367</v>
      </c>
      <c r="V418">
        <v>0.4088</v>
      </c>
    </row>
    <row r="419" spans="1:22">
      <c r="A419" t="s">
        <v>754</v>
      </c>
      <c r="B419" s="672" t="s">
        <v>962</v>
      </c>
      <c r="C419">
        <v>0.1</v>
      </c>
      <c r="D419" t="s">
        <v>758</v>
      </c>
      <c r="E419" s="674" t="s">
        <v>968</v>
      </c>
      <c r="F419" t="s">
        <v>973</v>
      </c>
      <c r="G419" s="672" t="s">
        <v>962</v>
      </c>
      <c r="H419">
        <v>2.0920000000000001</v>
      </c>
      <c r="J419" s="1" t="s">
        <v>770</v>
      </c>
      <c r="K419">
        <v>107667833</v>
      </c>
      <c r="L419" s="2">
        <v>45375</v>
      </c>
      <c r="M419">
        <v>28</v>
      </c>
      <c r="N419">
        <v>1</v>
      </c>
      <c r="O419">
        <v>0</v>
      </c>
      <c r="P419">
        <v>1</v>
      </c>
      <c r="Q419" t="s">
        <v>7</v>
      </c>
      <c r="R419">
        <v>35.176699999999997</v>
      </c>
      <c r="S419">
        <v>-79.440010000000001</v>
      </c>
      <c r="T419" t="s">
        <v>761</v>
      </c>
      <c r="U419" t="s">
        <v>367</v>
      </c>
      <c r="V419">
        <v>0.68840000000000001</v>
      </c>
    </row>
    <row r="420" spans="1:22">
      <c r="A420" t="s">
        <v>754</v>
      </c>
      <c r="B420" s="672" t="s">
        <v>962</v>
      </c>
      <c r="C420">
        <v>9.5000000000000001E-2</v>
      </c>
      <c r="D420" t="s">
        <v>758</v>
      </c>
      <c r="E420" s="674" t="s">
        <v>968</v>
      </c>
      <c r="F420" t="s">
        <v>973</v>
      </c>
      <c r="G420" s="672" t="s">
        <v>962</v>
      </c>
      <c r="H420">
        <v>2.097</v>
      </c>
      <c r="J420" s="1" t="s">
        <v>770</v>
      </c>
      <c r="K420">
        <v>107542817</v>
      </c>
      <c r="L420" s="2">
        <v>45257</v>
      </c>
      <c r="M420">
        <v>28</v>
      </c>
      <c r="N420">
        <v>1</v>
      </c>
      <c r="O420">
        <v>0</v>
      </c>
      <c r="P420">
        <v>1</v>
      </c>
      <c r="Q420" t="s">
        <v>7</v>
      </c>
      <c r="R420">
        <v>35.177100000000003</v>
      </c>
      <c r="S420">
        <v>-79.433030000000002</v>
      </c>
      <c r="T420" t="s">
        <v>761</v>
      </c>
      <c r="U420" t="s">
        <v>367</v>
      </c>
      <c r="V420">
        <v>0.29620000000000002</v>
      </c>
    </row>
    <row r="421" spans="1:22">
      <c r="A421" t="s">
        <v>1021</v>
      </c>
      <c r="B421" s="672" t="s">
        <v>965</v>
      </c>
      <c r="C421">
        <v>2.5000000000000001E-2</v>
      </c>
      <c r="D421" t="s">
        <v>763</v>
      </c>
      <c r="E421" s="674" t="s">
        <v>968</v>
      </c>
      <c r="F421" s="674" t="s">
        <v>977</v>
      </c>
      <c r="G421" s="672" t="s">
        <v>962</v>
      </c>
      <c r="H421">
        <v>2.1669999999999998</v>
      </c>
      <c r="J421" s="1" t="s">
        <v>770</v>
      </c>
      <c r="K421">
        <v>108446727</v>
      </c>
      <c r="L421" s="2">
        <v>46107</v>
      </c>
      <c r="M421">
        <v>21</v>
      </c>
      <c r="N421">
        <v>1</v>
      </c>
      <c r="O421">
        <v>0</v>
      </c>
      <c r="P421">
        <v>1</v>
      </c>
      <c r="Q421" t="s">
        <v>7</v>
      </c>
    </row>
    <row r="422" spans="1:22">
      <c r="A422" t="s">
        <v>1021</v>
      </c>
      <c r="B422" s="672" t="s">
        <v>965</v>
      </c>
      <c r="C422">
        <v>1.9E-2</v>
      </c>
      <c r="D422" t="s">
        <v>758</v>
      </c>
      <c r="E422" s="674" t="s">
        <v>968</v>
      </c>
      <c r="F422" s="674" t="s">
        <v>986</v>
      </c>
      <c r="G422" s="672" t="s">
        <v>962</v>
      </c>
      <c r="H422">
        <v>2.173</v>
      </c>
      <c r="J422" s="1" t="s">
        <v>770</v>
      </c>
      <c r="K422">
        <v>108426283</v>
      </c>
      <c r="L422" s="2">
        <v>46091</v>
      </c>
      <c r="M422">
        <v>21</v>
      </c>
      <c r="N422">
        <v>1</v>
      </c>
      <c r="O422">
        <v>0</v>
      </c>
      <c r="P422">
        <v>1</v>
      </c>
      <c r="Q422" t="s">
        <v>7</v>
      </c>
    </row>
    <row r="423" spans="1:22">
      <c r="A423" t="s">
        <v>754</v>
      </c>
      <c r="B423" s="672" t="s">
        <v>962</v>
      </c>
      <c r="C423">
        <v>1.9E-2</v>
      </c>
      <c r="D423" t="s">
        <v>758</v>
      </c>
      <c r="E423" s="674" t="s">
        <v>968</v>
      </c>
      <c r="F423" s="674" t="s">
        <v>975</v>
      </c>
      <c r="G423" s="672" t="s">
        <v>962</v>
      </c>
      <c r="H423">
        <v>2.173</v>
      </c>
      <c r="J423" s="1" t="s">
        <v>770</v>
      </c>
      <c r="K423">
        <v>108567110</v>
      </c>
      <c r="L423" s="2">
        <v>46223</v>
      </c>
      <c r="M423">
        <v>21</v>
      </c>
      <c r="N423">
        <v>1</v>
      </c>
      <c r="O423">
        <v>0</v>
      </c>
      <c r="P423">
        <v>1</v>
      </c>
      <c r="Q423" t="s">
        <v>7</v>
      </c>
      <c r="R423">
        <v>35.177309999999999</v>
      </c>
      <c r="S423">
        <v>-79.431690000000003</v>
      </c>
      <c r="T423" t="s">
        <v>755</v>
      </c>
      <c r="U423" t="s">
        <v>367</v>
      </c>
      <c r="V423">
        <v>0.21940000000000001</v>
      </c>
    </row>
    <row r="424" spans="1:22">
      <c r="A424" t="s">
        <v>1021</v>
      </c>
      <c r="B424" s="672" t="s">
        <v>965</v>
      </c>
      <c r="C424">
        <v>1.2E-2</v>
      </c>
      <c r="D424" t="s">
        <v>758</v>
      </c>
      <c r="E424" s="674" t="s">
        <v>968</v>
      </c>
      <c r="F424" s="674" t="s">
        <v>977</v>
      </c>
      <c r="G424" s="672" t="s">
        <v>962</v>
      </c>
      <c r="H424">
        <v>2.1800000000000002</v>
      </c>
      <c r="J424" s="1" t="s">
        <v>770</v>
      </c>
      <c r="K424">
        <v>105792459</v>
      </c>
      <c r="L424" s="2">
        <v>43514</v>
      </c>
      <c r="M424">
        <v>21</v>
      </c>
      <c r="N424">
        <v>1</v>
      </c>
      <c r="O424">
        <v>7</v>
      </c>
      <c r="P424">
        <v>1</v>
      </c>
      <c r="Q424" t="s">
        <v>7</v>
      </c>
    </row>
    <row r="425" spans="1:22">
      <c r="A425" t="s">
        <v>1021</v>
      </c>
      <c r="B425" s="672" t="s">
        <v>965</v>
      </c>
      <c r="C425">
        <v>8.9999999999999993E-3</v>
      </c>
      <c r="D425" t="s">
        <v>758</v>
      </c>
      <c r="E425" s="674" t="s">
        <v>968</v>
      </c>
      <c r="F425" s="674" t="s">
        <v>986</v>
      </c>
      <c r="G425" s="672" t="s">
        <v>962</v>
      </c>
      <c r="H425">
        <v>2.1829999999999998</v>
      </c>
      <c r="J425" s="1" t="s">
        <v>770</v>
      </c>
      <c r="K425">
        <v>107629118</v>
      </c>
      <c r="L425" s="2">
        <v>45342</v>
      </c>
      <c r="M425">
        <v>21</v>
      </c>
      <c r="N425">
        <v>1</v>
      </c>
      <c r="O425">
        <v>7</v>
      </c>
      <c r="P425">
        <v>1</v>
      </c>
      <c r="Q425" t="s">
        <v>7</v>
      </c>
    </row>
    <row r="426" spans="1:22">
      <c r="A426" t="s">
        <v>1021</v>
      </c>
      <c r="B426" s="672" t="s">
        <v>965</v>
      </c>
      <c r="C426">
        <v>8.9999999999999993E-3</v>
      </c>
      <c r="D426" t="s">
        <v>758</v>
      </c>
      <c r="E426" s="674" t="s">
        <v>968</v>
      </c>
      <c r="F426" s="674" t="s">
        <v>977</v>
      </c>
      <c r="G426" s="672" t="s">
        <v>962</v>
      </c>
      <c r="H426">
        <v>2.1829999999999998</v>
      </c>
      <c r="J426" s="1" t="s">
        <v>770</v>
      </c>
      <c r="K426">
        <v>107402785</v>
      </c>
      <c r="L426" s="2">
        <v>45128</v>
      </c>
      <c r="M426">
        <v>23</v>
      </c>
      <c r="N426">
        <v>1</v>
      </c>
      <c r="O426">
        <v>0</v>
      </c>
      <c r="P426">
        <v>1</v>
      </c>
      <c r="Q426" t="s">
        <v>7</v>
      </c>
    </row>
    <row r="427" spans="1:22">
      <c r="A427" t="s">
        <v>1021</v>
      </c>
      <c r="B427" s="672" t="s">
        <v>962</v>
      </c>
      <c r="C427">
        <v>7.0000000000000001E-3</v>
      </c>
      <c r="D427" t="s">
        <v>758</v>
      </c>
      <c r="E427" s="674" t="s">
        <v>968</v>
      </c>
      <c r="F427" t="s">
        <v>1024</v>
      </c>
      <c r="G427" s="672" t="s">
        <v>962</v>
      </c>
      <c r="H427">
        <v>2.1850000000000001</v>
      </c>
      <c r="J427" s="1" t="s">
        <v>770</v>
      </c>
      <c r="K427">
        <v>108034686</v>
      </c>
      <c r="L427" s="2">
        <v>45707</v>
      </c>
      <c r="M427">
        <v>19</v>
      </c>
      <c r="N427">
        <v>6</v>
      </c>
      <c r="O427">
        <v>0</v>
      </c>
      <c r="P427">
        <v>1</v>
      </c>
      <c r="Q427" t="s">
        <v>3</v>
      </c>
      <c r="R427">
        <v>35.177199999999999</v>
      </c>
      <c r="S427">
        <v>-79.431799999999996</v>
      </c>
      <c r="T427" t="s">
        <v>761</v>
      </c>
      <c r="U427" t="s">
        <v>367</v>
      </c>
      <c r="V427">
        <v>0.22750000000000001</v>
      </c>
    </row>
    <row r="428" spans="1:22">
      <c r="A428" t="s">
        <v>1021</v>
      </c>
      <c r="B428" s="672" t="s">
        <v>962</v>
      </c>
      <c r="C428">
        <v>6.0000000000000001E-3</v>
      </c>
      <c r="D428" t="s">
        <v>758</v>
      </c>
      <c r="E428" s="674" t="s">
        <v>968</v>
      </c>
      <c r="F428" s="674" t="s">
        <v>986</v>
      </c>
      <c r="G428" s="672" t="s">
        <v>962</v>
      </c>
      <c r="H428">
        <v>2.1859999999999999</v>
      </c>
      <c r="J428" s="1" t="s">
        <v>770</v>
      </c>
      <c r="K428">
        <v>107654956</v>
      </c>
      <c r="L428" s="2">
        <v>45363</v>
      </c>
      <c r="M428">
        <v>28</v>
      </c>
      <c r="N428">
        <v>1</v>
      </c>
      <c r="O428">
        <v>0</v>
      </c>
      <c r="P428">
        <v>1</v>
      </c>
      <c r="Q428" t="s">
        <v>7</v>
      </c>
      <c r="R428">
        <v>35.177266000000003</v>
      </c>
      <c r="S428">
        <v>-79.432550000000006</v>
      </c>
      <c r="T428" t="s">
        <v>761</v>
      </c>
      <c r="U428" t="s">
        <v>367</v>
      </c>
      <c r="V428">
        <v>0.2671</v>
      </c>
    </row>
    <row r="429" spans="1:22">
      <c r="A429" t="s">
        <v>1021</v>
      </c>
      <c r="B429" s="672" t="s">
        <v>965</v>
      </c>
      <c r="C429">
        <v>5.0000000000000001E-3</v>
      </c>
      <c r="D429" t="s">
        <v>758</v>
      </c>
      <c r="E429" s="674" t="s">
        <v>968</v>
      </c>
      <c r="G429" s="672" t="s">
        <v>962</v>
      </c>
      <c r="H429">
        <v>2.1869999999999998</v>
      </c>
      <c r="J429" s="1" t="s">
        <v>770</v>
      </c>
      <c r="K429">
        <v>107438194</v>
      </c>
      <c r="L429" s="2">
        <v>45166</v>
      </c>
      <c r="M429">
        <v>22</v>
      </c>
      <c r="N429">
        <v>2</v>
      </c>
      <c r="O429">
        <v>0</v>
      </c>
      <c r="P429">
        <v>1</v>
      </c>
      <c r="Q429" t="s">
        <v>7</v>
      </c>
    </row>
    <row r="430" spans="1:22">
      <c r="A430" t="s">
        <v>1021</v>
      </c>
      <c r="B430" s="672" t="s">
        <v>962</v>
      </c>
      <c r="C430">
        <v>5.0000000000000001E-3</v>
      </c>
      <c r="D430" t="s">
        <v>758</v>
      </c>
      <c r="E430" s="674" t="s">
        <v>968</v>
      </c>
      <c r="F430" s="674" t="s">
        <v>977</v>
      </c>
      <c r="G430" s="672" t="s">
        <v>962</v>
      </c>
      <c r="H430">
        <v>2.1869999999999998</v>
      </c>
      <c r="J430" s="1" t="s">
        <v>770</v>
      </c>
      <c r="K430">
        <v>107134309</v>
      </c>
      <c r="L430" s="2">
        <v>44867</v>
      </c>
      <c r="M430">
        <v>21</v>
      </c>
      <c r="N430">
        <v>1</v>
      </c>
      <c r="O430">
        <v>7</v>
      </c>
      <c r="P430">
        <v>1</v>
      </c>
      <c r="Q430" t="s">
        <v>3</v>
      </c>
    </row>
    <row r="431" spans="1:22">
      <c r="A431" t="s">
        <v>1021</v>
      </c>
      <c r="B431" s="672" t="s">
        <v>965</v>
      </c>
      <c r="C431">
        <v>4.0000000000000001E-3</v>
      </c>
      <c r="D431" t="s">
        <v>758</v>
      </c>
      <c r="E431" s="674" t="s">
        <v>968</v>
      </c>
      <c r="F431" s="674" t="s">
        <v>986</v>
      </c>
      <c r="G431" s="672" t="s">
        <v>962</v>
      </c>
      <c r="H431">
        <v>2.1880000000000002</v>
      </c>
      <c r="J431" s="1" t="s">
        <v>770</v>
      </c>
      <c r="K431">
        <v>106843451</v>
      </c>
      <c r="L431" s="2">
        <v>44587</v>
      </c>
      <c r="M431">
        <v>28</v>
      </c>
      <c r="N431">
        <v>1</v>
      </c>
      <c r="O431">
        <v>0</v>
      </c>
      <c r="P431">
        <v>1</v>
      </c>
      <c r="Q431" t="s">
        <v>7</v>
      </c>
    </row>
    <row r="432" spans="1:22">
      <c r="A432" t="s">
        <v>1021</v>
      </c>
      <c r="B432" s="672" t="s">
        <v>965</v>
      </c>
      <c r="C432">
        <v>4.0000000000000001E-3</v>
      </c>
      <c r="D432" t="s">
        <v>758</v>
      </c>
      <c r="E432" s="674" t="s">
        <v>968</v>
      </c>
      <c r="F432" s="674" t="s">
        <v>977</v>
      </c>
      <c r="G432" s="672" t="s">
        <v>962</v>
      </c>
      <c r="H432">
        <v>2.1880000000000002</v>
      </c>
      <c r="J432" s="1" t="s">
        <v>770</v>
      </c>
      <c r="K432">
        <v>105377027</v>
      </c>
      <c r="L432" s="2">
        <v>43120</v>
      </c>
      <c r="M432">
        <v>21</v>
      </c>
      <c r="N432">
        <v>4</v>
      </c>
      <c r="O432">
        <v>7</v>
      </c>
      <c r="P432">
        <v>1</v>
      </c>
      <c r="Q432" t="s">
        <v>7</v>
      </c>
    </row>
    <row r="433" spans="1:17">
      <c r="A433" t="s">
        <v>754</v>
      </c>
      <c r="B433" s="672" t="s">
        <v>962</v>
      </c>
      <c r="C433">
        <v>0.2</v>
      </c>
      <c r="D433" t="s">
        <v>756</v>
      </c>
      <c r="E433" s="674" t="s">
        <v>977</v>
      </c>
      <c r="F433" s="674" t="s">
        <v>1080</v>
      </c>
      <c r="G433" s="672" t="s">
        <v>962</v>
      </c>
      <c r="H433">
        <v>2.1880000000000002</v>
      </c>
      <c r="J433" s="1" t="s">
        <v>770</v>
      </c>
      <c r="K433">
        <v>106144525</v>
      </c>
      <c r="L433" s="2">
        <v>43858</v>
      </c>
      <c r="M433">
        <v>31</v>
      </c>
      <c r="N433">
        <v>1</v>
      </c>
      <c r="O433">
        <v>12</v>
      </c>
      <c r="P433">
        <v>1</v>
      </c>
      <c r="Q433" t="s">
        <v>7</v>
      </c>
    </row>
    <row r="434" spans="1:17">
      <c r="A434" t="s">
        <v>754</v>
      </c>
      <c r="B434" s="672" t="s">
        <v>962</v>
      </c>
      <c r="C434">
        <v>2E-3</v>
      </c>
      <c r="D434" t="s">
        <v>758</v>
      </c>
      <c r="E434" s="674" t="s">
        <v>968</v>
      </c>
      <c r="F434" t="s">
        <v>973</v>
      </c>
      <c r="G434" s="672" t="s">
        <v>962</v>
      </c>
      <c r="H434">
        <v>2.19</v>
      </c>
      <c r="J434" s="1" t="s">
        <v>770</v>
      </c>
      <c r="K434">
        <v>106678935</v>
      </c>
      <c r="L434" s="2">
        <v>44432</v>
      </c>
      <c r="M434">
        <v>21</v>
      </c>
      <c r="N434">
        <v>1</v>
      </c>
      <c r="O434">
        <v>12</v>
      </c>
      <c r="P434">
        <v>1</v>
      </c>
      <c r="Q434" t="s">
        <v>3</v>
      </c>
    </row>
    <row r="435" spans="1:17">
      <c r="A435" t="s">
        <v>754</v>
      </c>
      <c r="B435" s="672" t="s">
        <v>962</v>
      </c>
      <c r="C435">
        <v>2E-3</v>
      </c>
      <c r="D435" t="s">
        <v>758</v>
      </c>
      <c r="E435" s="674" t="s">
        <v>968</v>
      </c>
      <c r="F435" t="s">
        <v>973</v>
      </c>
      <c r="G435" s="672" t="s">
        <v>962</v>
      </c>
      <c r="H435">
        <v>2.19</v>
      </c>
      <c r="J435" s="1" t="s">
        <v>770</v>
      </c>
      <c r="K435">
        <v>106997868</v>
      </c>
      <c r="L435" s="2">
        <v>44736</v>
      </c>
      <c r="M435">
        <v>21</v>
      </c>
      <c r="N435">
        <v>1</v>
      </c>
      <c r="O435">
        <v>12</v>
      </c>
      <c r="P435">
        <v>1</v>
      </c>
      <c r="Q435" t="s">
        <v>7</v>
      </c>
    </row>
    <row r="436" spans="1:17">
      <c r="A436" t="s">
        <v>1021</v>
      </c>
      <c r="B436" s="672" t="s">
        <v>965</v>
      </c>
      <c r="C436">
        <v>0</v>
      </c>
      <c r="E436" s="674" t="s">
        <v>968</v>
      </c>
      <c r="F436" s="674" t="s">
        <v>1144</v>
      </c>
      <c r="G436" s="672" t="s">
        <v>962</v>
      </c>
      <c r="H436">
        <v>2.1920000000000002</v>
      </c>
      <c r="J436" s="1" t="s">
        <v>770</v>
      </c>
      <c r="K436">
        <v>106874915</v>
      </c>
      <c r="L436" s="2">
        <v>44620</v>
      </c>
      <c r="M436">
        <v>21</v>
      </c>
      <c r="N436">
        <v>1</v>
      </c>
      <c r="O436">
        <v>7</v>
      </c>
      <c r="P436">
        <v>1</v>
      </c>
      <c r="Q436" t="s">
        <v>7</v>
      </c>
    </row>
    <row r="437" spans="1:17">
      <c r="A437" t="s">
        <v>1021</v>
      </c>
      <c r="B437" s="672" t="s">
        <v>965</v>
      </c>
      <c r="C437">
        <v>0</v>
      </c>
      <c r="E437" s="674" t="s">
        <v>968</v>
      </c>
      <c r="F437" s="674" t="s">
        <v>986</v>
      </c>
      <c r="G437" s="672" t="s">
        <v>962</v>
      </c>
      <c r="H437">
        <v>2.1920000000000002</v>
      </c>
      <c r="J437" s="1" t="s">
        <v>770</v>
      </c>
      <c r="K437">
        <v>106530154</v>
      </c>
      <c r="L437" s="2">
        <v>44244</v>
      </c>
      <c r="M437">
        <v>21</v>
      </c>
      <c r="N437">
        <v>1</v>
      </c>
      <c r="P437">
        <v>1</v>
      </c>
      <c r="Q437" t="s">
        <v>7</v>
      </c>
    </row>
    <row r="438" spans="1:17">
      <c r="A438" t="s">
        <v>1021</v>
      </c>
      <c r="B438" s="672" t="s">
        <v>965</v>
      </c>
      <c r="C438">
        <v>0</v>
      </c>
      <c r="E438" s="674" t="s">
        <v>968</v>
      </c>
      <c r="F438" s="674" t="s">
        <v>986</v>
      </c>
      <c r="G438" s="672" t="s">
        <v>962</v>
      </c>
      <c r="H438">
        <v>2.1920000000000002</v>
      </c>
      <c r="J438" s="1" t="s">
        <v>770</v>
      </c>
      <c r="K438">
        <v>106802263</v>
      </c>
      <c r="L438" s="2">
        <v>44468</v>
      </c>
      <c r="M438">
        <v>21</v>
      </c>
      <c r="N438">
        <v>1</v>
      </c>
      <c r="O438">
        <v>7</v>
      </c>
      <c r="P438">
        <v>1</v>
      </c>
      <c r="Q438" t="s">
        <v>7</v>
      </c>
    </row>
    <row r="439" spans="1:17">
      <c r="A439" t="s">
        <v>1021</v>
      </c>
      <c r="B439" s="672" t="s">
        <v>965</v>
      </c>
      <c r="C439">
        <v>0</v>
      </c>
      <c r="D439" t="s">
        <v>758</v>
      </c>
      <c r="E439" s="674" t="s">
        <v>968</v>
      </c>
      <c r="F439" s="674" t="s">
        <v>986</v>
      </c>
      <c r="G439" s="672" t="s">
        <v>962</v>
      </c>
      <c r="H439">
        <v>2.1920000000000002</v>
      </c>
      <c r="J439" s="1" t="s">
        <v>770</v>
      </c>
      <c r="K439">
        <v>106840907</v>
      </c>
      <c r="L439" s="2">
        <v>44585</v>
      </c>
      <c r="M439">
        <v>21</v>
      </c>
      <c r="N439">
        <v>1</v>
      </c>
      <c r="O439">
        <v>7</v>
      </c>
      <c r="P439">
        <v>1</v>
      </c>
      <c r="Q439" t="s">
        <v>7</v>
      </c>
    </row>
    <row r="440" spans="1:17">
      <c r="A440" t="s">
        <v>1021</v>
      </c>
      <c r="B440" s="672" t="s">
        <v>965</v>
      </c>
      <c r="C440">
        <v>0</v>
      </c>
      <c r="E440" s="674" t="s">
        <v>968</v>
      </c>
      <c r="F440" s="674" t="s">
        <v>986</v>
      </c>
      <c r="G440" s="672" t="s">
        <v>962</v>
      </c>
      <c r="H440">
        <v>2.1920000000000002</v>
      </c>
      <c r="J440" s="1" t="s">
        <v>770</v>
      </c>
      <c r="K440">
        <v>107580675</v>
      </c>
      <c r="L440" s="2">
        <v>45291</v>
      </c>
      <c r="M440">
        <v>21</v>
      </c>
      <c r="N440">
        <v>1</v>
      </c>
      <c r="O440">
        <v>0</v>
      </c>
      <c r="P440">
        <v>4</v>
      </c>
      <c r="Q440" t="s">
        <v>7</v>
      </c>
    </row>
    <row r="441" spans="1:17">
      <c r="A441" t="s">
        <v>1021</v>
      </c>
      <c r="B441" s="672" t="s">
        <v>965</v>
      </c>
      <c r="C441">
        <v>0</v>
      </c>
      <c r="D441" t="s">
        <v>765</v>
      </c>
      <c r="E441" s="674" t="s">
        <v>968</v>
      </c>
      <c r="F441" s="674" t="s">
        <v>986</v>
      </c>
      <c r="G441" s="672" t="s">
        <v>962</v>
      </c>
      <c r="H441">
        <v>2.1920000000000002</v>
      </c>
      <c r="J441" s="1" t="s">
        <v>770</v>
      </c>
      <c r="K441">
        <v>107601223</v>
      </c>
      <c r="L441" s="2">
        <v>45313</v>
      </c>
      <c r="M441">
        <v>21</v>
      </c>
      <c r="N441">
        <v>1</v>
      </c>
      <c r="O441">
        <v>7</v>
      </c>
      <c r="P441">
        <v>4</v>
      </c>
      <c r="Q441" t="s">
        <v>7</v>
      </c>
    </row>
    <row r="442" spans="1:17">
      <c r="A442" t="s">
        <v>1021</v>
      </c>
      <c r="B442" s="672" t="s">
        <v>965</v>
      </c>
      <c r="C442">
        <v>0</v>
      </c>
      <c r="E442" s="674" t="s">
        <v>968</v>
      </c>
      <c r="F442" s="674" t="s">
        <v>986</v>
      </c>
      <c r="G442" s="672" t="s">
        <v>962</v>
      </c>
      <c r="H442">
        <v>2.1920000000000002</v>
      </c>
      <c r="J442" s="1" t="s">
        <v>770</v>
      </c>
      <c r="K442">
        <v>108586880</v>
      </c>
      <c r="L442" s="2">
        <v>46245</v>
      </c>
      <c r="M442">
        <v>21</v>
      </c>
      <c r="N442">
        <v>1</v>
      </c>
      <c r="O442">
        <v>8</v>
      </c>
      <c r="P442">
        <v>1</v>
      </c>
      <c r="Q442" t="s">
        <v>7</v>
      </c>
    </row>
    <row r="443" spans="1:17">
      <c r="A443" t="s">
        <v>1021</v>
      </c>
      <c r="B443" s="672" t="s">
        <v>965</v>
      </c>
      <c r="C443">
        <v>0</v>
      </c>
      <c r="E443" s="674" t="s">
        <v>968</v>
      </c>
      <c r="F443" t="s">
        <v>1116</v>
      </c>
      <c r="G443" s="672" t="s">
        <v>962</v>
      </c>
      <c r="H443">
        <v>2.1920000000000002</v>
      </c>
      <c r="J443" s="1" t="s">
        <v>770</v>
      </c>
      <c r="K443">
        <v>106064266</v>
      </c>
      <c r="L443" s="2">
        <v>43763</v>
      </c>
      <c r="M443">
        <v>21</v>
      </c>
      <c r="N443">
        <v>1</v>
      </c>
      <c r="O443">
        <v>7</v>
      </c>
      <c r="P443">
        <v>1</v>
      </c>
      <c r="Q443" t="s">
        <v>7</v>
      </c>
    </row>
    <row r="444" spans="1:17">
      <c r="A444" t="s">
        <v>1021</v>
      </c>
      <c r="B444" s="672" t="s">
        <v>965</v>
      </c>
      <c r="C444">
        <v>0</v>
      </c>
      <c r="D444" t="s">
        <v>763</v>
      </c>
      <c r="E444" s="674" t="s">
        <v>968</v>
      </c>
      <c r="F444" s="675" t="s">
        <v>1023</v>
      </c>
      <c r="G444" s="672" t="s">
        <v>962</v>
      </c>
      <c r="H444">
        <v>2.1920000000000002</v>
      </c>
      <c r="J444" s="1" t="s">
        <v>770</v>
      </c>
      <c r="K444">
        <v>107712132</v>
      </c>
      <c r="L444" s="2">
        <v>45420</v>
      </c>
      <c r="M444">
        <v>22</v>
      </c>
      <c r="N444">
        <v>1</v>
      </c>
      <c r="O444">
        <v>0</v>
      </c>
      <c r="P444">
        <v>1</v>
      </c>
      <c r="Q444" t="s">
        <v>7</v>
      </c>
    </row>
    <row r="445" spans="1:17">
      <c r="A445" t="s">
        <v>1021</v>
      </c>
      <c r="B445" s="672" t="s">
        <v>965</v>
      </c>
      <c r="C445">
        <v>0</v>
      </c>
      <c r="E445" s="674" t="s">
        <v>968</v>
      </c>
      <c r="F445" s="675" t="s">
        <v>1023</v>
      </c>
      <c r="G445" s="672" t="s">
        <v>962</v>
      </c>
      <c r="H445">
        <v>2.1920000000000002</v>
      </c>
      <c r="J445" s="1" t="s">
        <v>770</v>
      </c>
      <c r="K445">
        <v>107845488</v>
      </c>
      <c r="L445" s="2">
        <v>45545</v>
      </c>
      <c r="M445">
        <v>26</v>
      </c>
      <c r="N445">
        <v>1</v>
      </c>
      <c r="O445">
        <v>7</v>
      </c>
      <c r="P445">
        <v>1</v>
      </c>
      <c r="Q445" t="s">
        <v>7</v>
      </c>
    </row>
    <row r="446" spans="1:17">
      <c r="A446" t="s">
        <v>1021</v>
      </c>
      <c r="B446" s="672" t="s">
        <v>965</v>
      </c>
      <c r="C446">
        <v>0</v>
      </c>
      <c r="D446" t="s">
        <v>757</v>
      </c>
      <c r="E446" s="674" t="s">
        <v>968</v>
      </c>
      <c r="F446" s="672" t="s">
        <v>965</v>
      </c>
      <c r="G446" s="672" t="s">
        <v>962</v>
      </c>
      <c r="H446">
        <v>2.1920000000000002</v>
      </c>
      <c r="J446" s="1" t="s">
        <v>770</v>
      </c>
      <c r="K446">
        <v>108430686</v>
      </c>
      <c r="L446" s="2">
        <v>46095</v>
      </c>
      <c r="M446">
        <v>21</v>
      </c>
      <c r="N446">
        <v>1</v>
      </c>
      <c r="O446">
        <v>7</v>
      </c>
      <c r="P446">
        <v>1</v>
      </c>
      <c r="Q446" t="s">
        <v>7</v>
      </c>
    </row>
    <row r="447" spans="1:17">
      <c r="A447" t="s">
        <v>1021</v>
      </c>
      <c r="B447" s="672" t="s">
        <v>965</v>
      </c>
      <c r="C447">
        <v>0</v>
      </c>
      <c r="E447" s="674" t="s">
        <v>968</v>
      </c>
      <c r="F447" s="674" t="s">
        <v>1108</v>
      </c>
      <c r="G447" s="672" t="s">
        <v>962</v>
      </c>
      <c r="H447">
        <v>2.1920000000000002</v>
      </c>
      <c r="J447" s="1" t="s">
        <v>770</v>
      </c>
      <c r="K447">
        <v>105861773</v>
      </c>
      <c r="L447" s="2">
        <v>43593</v>
      </c>
      <c r="M447">
        <v>21</v>
      </c>
      <c r="N447">
        <v>1</v>
      </c>
      <c r="O447">
        <v>0</v>
      </c>
      <c r="P447">
        <v>1</v>
      </c>
      <c r="Q447" t="s">
        <v>7</v>
      </c>
    </row>
    <row r="448" spans="1:17">
      <c r="A448" t="s">
        <v>1021</v>
      </c>
      <c r="B448" s="672" t="s">
        <v>965</v>
      </c>
      <c r="C448">
        <v>0</v>
      </c>
      <c r="E448" s="674" t="s">
        <v>968</v>
      </c>
      <c r="F448" s="674" t="s">
        <v>977</v>
      </c>
      <c r="G448" s="672" t="s">
        <v>962</v>
      </c>
      <c r="H448">
        <v>2.1920000000000002</v>
      </c>
      <c r="J448" s="1" t="s">
        <v>770</v>
      </c>
      <c r="K448">
        <v>105107771</v>
      </c>
      <c r="L448" s="2">
        <v>42854</v>
      </c>
      <c r="M448">
        <v>21</v>
      </c>
      <c r="N448">
        <v>1</v>
      </c>
      <c r="O448">
        <v>7</v>
      </c>
      <c r="P448">
        <v>1</v>
      </c>
      <c r="Q448" t="s">
        <v>7</v>
      </c>
    </row>
    <row r="449" spans="1:22">
      <c r="A449" t="s">
        <v>1021</v>
      </c>
      <c r="B449" s="672" t="s">
        <v>965</v>
      </c>
      <c r="C449">
        <v>0</v>
      </c>
      <c r="E449" s="674" t="s">
        <v>968</v>
      </c>
      <c r="F449" s="674" t="s">
        <v>977</v>
      </c>
      <c r="G449" s="672" t="s">
        <v>962</v>
      </c>
      <c r="H449">
        <v>2.1920000000000002</v>
      </c>
      <c r="J449" s="1" t="s">
        <v>770</v>
      </c>
      <c r="K449">
        <v>105125303</v>
      </c>
      <c r="L449" s="2">
        <v>42871</v>
      </c>
      <c r="M449">
        <v>21</v>
      </c>
      <c r="N449">
        <v>1</v>
      </c>
      <c r="O449">
        <v>7</v>
      </c>
      <c r="P449">
        <v>1</v>
      </c>
      <c r="Q449" t="s">
        <v>7</v>
      </c>
    </row>
    <row r="450" spans="1:22">
      <c r="A450" t="s">
        <v>1021</v>
      </c>
      <c r="B450" s="672" t="s">
        <v>965</v>
      </c>
      <c r="C450">
        <v>0</v>
      </c>
      <c r="D450" t="s">
        <v>758</v>
      </c>
      <c r="E450" s="674" t="s">
        <v>968</v>
      </c>
      <c r="F450" s="674" t="s">
        <v>977</v>
      </c>
      <c r="G450" s="672" t="s">
        <v>962</v>
      </c>
      <c r="H450">
        <v>2.1920000000000002</v>
      </c>
      <c r="J450" s="1" t="s">
        <v>770</v>
      </c>
      <c r="K450">
        <v>105792454</v>
      </c>
      <c r="L450" s="2">
        <v>43510</v>
      </c>
      <c r="M450">
        <v>21</v>
      </c>
      <c r="N450">
        <v>1</v>
      </c>
      <c r="O450">
        <v>7</v>
      </c>
      <c r="P450">
        <v>1</v>
      </c>
      <c r="Q450" t="s">
        <v>7</v>
      </c>
    </row>
    <row r="451" spans="1:22">
      <c r="A451" t="s">
        <v>1021</v>
      </c>
      <c r="B451" s="672" t="s">
        <v>965</v>
      </c>
      <c r="C451">
        <v>0</v>
      </c>
      <c r="E451" s="674" t="s">
        <v>968</v>
      </c>
      <c r="F451" s="674" t="s">
        <v>977</v>
      </c>
      <c r="G451" s="672" t="s">
        <v>962</v>
      </c>
      <c r="H451">
        <v>2.1920000000000002</v>
      </c>
      <c r="J451" s="1" t="s">
        <v>770</v>
      </c>
      <c r="K451">
        <v>106308161</v>
      </c>
      <c r="L451" s="2">
        <v>44001</v>
      </c>
      <c r="M451">
        <v>21</v>
      </c>
      <c r="N451">
        <v>1</v>
      </c>
      <c r="O451">
        <v>7</v>
      </c>
      <c r="P451">
        <v>2</v>
      </c>
      <c r="Q451" t="s">
        <v>7</v>
      </c>
    </row>
    <row r="452" spans="1:22">
      <c r="A452" t="s">
        <v>1021</v>
      </c>
      <c r="B452" s="672" t="s">
        <v>965</v>
      </c>
      <c r="C452">
        <v>0</v>
      </c>
      <c r="E452" s="674" t="s">
        <v>968</v>
      </c>
      <c r="F452" s="674" t="s">
        <v>977</v>
      </c>
      <c r="G452" s="672" t="s">
        <v>962</v>
      </c>
      <c r="H452">
        <v>2.1920000000000002</v>
      </c>
      <c r="J452" s="1" t="s">
        <v>770</v>
      </c>
      <c r="K452">
        <v>107072037</v>
      </c>
      <c r="L452" s="2">
        <v>44811</v>
      </c>
      <c r="M452">
        <v>21</v>
      </c>
      <c r="N452">
        <v>1</v>
      </c>
      <c r="O452">
        <v>0</v>
      </c>
      <c r="P452">
        <v>1</v>
      </c>
      <c r="Q452" t="s">
        <v>7</v>
      </c>
    </row>
    <row r="453" spans="1:22">
      <c r="A453" t="s">
        <v>1021</v>
      </c>
      <c r="B453" s="672" t="s">
        <v>965</v>
      </c>
      <c r="C453">
        <v>0</v>
      </c>
      <c r="E453" s="674" t="s">
        <v>968</v>
      </c>
      <c r="F453" s="674" t="s">
        <v>977</v>
      </c>
      <c r="G453" s="672" t="s">
        <v>962</v>
      </c>
      <c r="H453">
        <v>2.1920000000000002</v>
      </c>
      <c r="J453" s="1" t="s">
        <v>770</v>
      </c>
      <c r="K453">
        <v>107201553</v>
      </c>
      <c r="L453" s="2">
        <v>44905</v>
      </c>
      <c r="M453">
        <v>21</v>
      </c>
      <c r="N453">
        <v>1</v>
      </c>
      <c r="O453">
        <v>0</v>
      </c>
      <c r="P453">
        <v>1</v>
      </c>
      <c r="Q453" t="s">
        <v>7</v>
      </c>
    </row>
    <row r="454" spans="1:22">
      <c r="A454" t="s">
        <v>1021</v>
      </c>
      <c r="B454" s="672" t="s">
        <v>965</v>
      </c>
      <c r="C454">
        <v>0</v>
      </c>
      <c r="E454" s="674" t="s">
        <v>968</v>
      </c>
      <c r="F454" s="674" t="s">
        <v>977</v>
      </c>
      <c r="G454" s="672" t="s">
        <v>962</v>
      </c>
      <c r="H454">
        <v>2.1920000000000002</v>
      </c>
      <c r="J454" s="1" t="s">
        <v>770</v>
      </c>
      <c r="K454">
        <v>107389833</v>
      </c>
      <c r="L454" s="2">
        <v>45114</v>
      </c>
      <c r="M454">
        <v>21</v>
      </c>
      <c r="N454">
        <v>1</v>
      </c>
      <c r="O454">
        <v>7</v>
      </c>
      <c r="P454">
        <v>1</v>
      </c>
      <c r="Q454" t="s">
        <v>7</v>
      </c>
    </row>
    <row r="455" spans="1:22">
      <c r="A455" t="s">
        <v>1021</v>
      </c>
      <c r="B455" s="672" t="s">
        <v>965</v>
      </c>
      <c r="C455">
        <v>0</v>
      </c>
      <c r="E455" s="674" t="s">
        <v>968</v>
      </c>
      <c r="F455" s="674" t="s">
        <v>977</v>
      </c>
      <c r="G455" s="672" t="s">
        <v>962</v>
      </c>
      <c r="H455">
        <v>2.1920000000000002</v>
      </c>
      <c r="J455" s="1" t="s">
        <v>770</v>
      </c>
      <c r="K455">
        <v>107847004</v>
      </c>
      <c r="L455" s="2">
        <v>45547</v>
      </c>
      <c r="M455">
        <v>21</v>
      </c>
      <c r="N455">
        <v>1</v>
      </c>
      <c r="O455">
        <v>7</v>
      </c>
      <c r="P455">
        <v>1</v>
      </c>
      <c r="Q455" t="s">
        <v>7</v>
      </c>
    </row>
    <row r="456" spans="1:22">
      <c r="A456" t="s">
        <v>1021</v>
      </c>
      <c r="B456" s="672" t="s">
        <v>965</v>
      </c>
      <c r="C456">
        <v>0</v>
      </c>
      <c r="E456" s="674" t="s">
        <v>968</v>
      </c>
      <c r="F456" s="674" t="s">
        <v>977</v>
      </c>
      <c r="G456" s="672" t="s">
        <v>962</v>
      </c>
      <c r="H456">
        <v>2.1920000000000002</v>
      </c>
      <c r="J456" s="1" t="s">
        <v>770</v>
      </c>
      <c r="K456">
        <v>108225476</v>
      </c>
      <c r="L456" s="2">
        <v>45909</v>
      </c>
      <c r="M456">
        <v>21</v>
      </c>
      <c r="N456">
        <v>1</v>
      </c>
      <c r="O456">
        <v>7</v>
      </c>
      <c r="P456">
        <v>1</v>
      </c>
      <c r="Q456" t="s">
        <v>7</v>
      </c>
    </row>
    <row r="457" spans="1:22">
      <c r="A457" t="s">
        <v>1021</v>
      </c>
      <c r="B457" s="672" t="s">
        <v>965</v>
      </c>
      <c r="C457">
        <v>0</v>
      </c>
      <c r="E457" s="674" t="s">
        <v>968</v>
      </c>
      <c r="G457" s="672" t="s">
        <v>962</v>
      </c>
      <c r="H457">
        <v>2.1920000000000002</v>
      </c>
      <c r="J457" s="1" t="s">
        <v>770</v>
      </c>
      <c r="K457">
        <v>107218368</v>
      </c>
      <c r="L457" s="2">
        <v>44945</v>
      </c>
      <c r="M457">
        <v>28</v>
      </c>
      <c r="N457">
        <v>1</v>
      </c>
      <c r="O457">
        <v>0</v>
      </c>
      <c r="P457">
        <v>4</v>
      </c>
      <c r="Q457" t="s">
        <v>7</v>
      </c>
    </row>
    <row r="458" spans="1:22">
      <c r="A458" t="s">
        <v>754</v>
      </c>
      <c r="B458" s="672" t="s">
        <v>962</v>
      </c>
      <c r="C458">
        <v>0.1</v>
      </c>
      <c r="D458" t="s">
        <v>6</v>
      </c>
      <c r="E458" s="674" t="s">
        <v>968</v>
      </c>
      <c r="F458" t="s">
        <v>973</v>
      </c>
      <c r="G458" s="672" t="s">
        <v>962</v>
      </c>
      <c r="H458">
        <v>2.1920000000000002</v>
      </c>
      <c r="J458" s="1" t="s">
        <v>770</v>
      </c>
      <c r="K458">
        <v>108073602</v>
      </c>
      <c r="L458" s="2">
        <v>45750</v>
      </c>
      <c r="M458">
        <v>21</v>
      </c>
      <c r="N458">
        <v>1</v>
      </c>
      <c r="O458">
        <v>0</v>
      </c>
      <c r="P458">
        <v>1</v>
      </c>
      <c r="Q458" t="s">
        <v>3</v>
      </c>
      <c r="R458">
        <v>35.176965000000003</v>
      </c>
      <c r="S458">
        <v>-79.434110000000004</v>
      </c>
      <c r="T458" t="s">
        <v>761</v>
      </c>
      <c r="U458" t="s">
        <v>367</v>
      </c>
      <c r="V458">
        <v>0.35759999999999997</v>
      </c>
    </row>
    <row r="459" spans="1:22">
      <c r="A459" t="s">
        <v>1021</v>
      </c>
      <c r="B459" s="672" t="s">
        <v>962</v>
      </c>
      <c r="C459">
        <v>0</v>
      </c>
      <c r="E459" s="674" t="s">
        <v>968</v>
      </c>
      <c r="F459" s="672" t="s">
        <v>962</v>
      </c>
      <c r="G459" s="672" t="s">
        <v>962</v>
      </c>
      <c r="H459">
        <v>2.1920000000000002</v>
      </c>
      <c r="J459" s="1" t="s">
        <v>770</v>
      </c>
      <c r="K459">
        <v>106343026</v>
      </c>
      <c r="L459" s="2">
        <v>44089</v>
      </c>
      <c r="M459">
        <v>21</v>
      </c>
      <c r="N459">
        <v>1</v>
      </c>
      <c r="O459">
        <v>0</v>
      </c>
      <c r="P459">
        <v>1</v>
      </c>
      <c r="Q459" t="s">
        <v>7</v>
      </c>
    </row>
    <row r="460" spans="1:22">
      <c r="A460" t="s">
        <v>1021</v>
      </c>
      <c r="B460" s="672" t="s">
        <v>962</v>
      </c>
      <c r="C460">
        <v>0</v>
      </c>
      <c r="E460" s="674" t="s">
        <v>968</v>
      </c>
      <c r="F460" t="s">
        <v>1024</v>
      </c>
      <c r="G460" s="672" t="s">
        <v>962</v>
      </c>
      <c r="H460">
        <v>2.1920000000000002</v>
      </c>
      <c r="J460" s="1" t="s">
        <v>770</v>
      </c>
      <c r="K460">
        <v>108111697</v>
      </c>
      <c r="L460" s="2">
        <v>45793</v>
      </c>
      <c r="M460">
        <v>21</v>
      </c>
      <c r="N460">
        <v>1</v>
      </c>
      <c r="O460">
        <v>7</v>
      </c>
      <c r="P460">
        <v>1</v>
      </c>
      <c r="Q460" t="s">
        <v>7</v>
      </c>
      <c r="R460">
        <v>35.177770000000002</v>
      </c>
      <c r="S460">
        <v>-79.431650000000005</v>
      </c>
      <c r="T460" t="s">
        <v>761</v>
      </c>
      <c r="U460" t="s">
        <v>367</v>
      </c>
      <c r="V460" s="672">
        <v>0.21049999999999999</v>
      </c>
    </row>
    <row r="461" spans="1:22">
      <c r="A461" t="s">
        <v>754</v>
      </c>
      <c r="B461" s="672" t="s">
        <v>962</v>
      </c>
      <c r="C461">
        <v>4.0000000000000001E-3</v>
      </c>
      <c r="D461" t="s">
        <v>756</v>
      </c>
      <c r="E461" s="674" t="s">
        <v>968</v>
      </c>
      <c r="F461" t="s">
        <v>1024</v>
      </c>
      <c r="G461" s="672" t="s">
        <v>962</v>
      </c>
      <c r="H461">
        <v>2.1920000000000002</v>
      </c>
      <c r="J461" s="1" t="s">
        <v>770</v>
      </c>
      <c r="K461">
        <v>108600406</v>
      </c>
      <c r="L461" s="2">
        <v>46257</v>
      </c>
      <c r="M461">
        <v>21</v>
      </c>
      <c r="N461">
        <v>1</v>
      </c>
      <c r="O461">
        <v>0</v>
      </c>
      <c r="P461">
        <v>1</v>
      </c>
      <c r="Q461" t="s">
        <v>3</v>
      </c>
      <c r="R461">
        <v>35.177579999999999</v>
      </c>
      <c r="S461">
        <v>-79.431340000000006</v>
      </c>
      <c r="T461" t="s">
        <v>755</v>
      </c>
      <c r="U461" t="s">
        <v>367</v>
      </c>
      <c r="V461">
        <v>0.1956</v>
      </c>
    </row>
    <row r="462" spans="1:22">
      <c r="A462" t="s">
        <v>754</v>
      </c>
      <c r="B462" s="672" t="s">
        <v>962</v>
      </c>
      <c r="C462">
        <v>9.5000000000000001E-2</v>
      </c>
      <c r="D462" t="s">
        <v>756</v>
      </c>
      <c r="E462" s="674" t="s">
        <v>968</v>
      </c>
      <c r="F462" t="s">
        <v>1024</v>
      </c>
      <c r="G462" s="672" t="s">
        <v>962</v>
      </c>
      <c r="H462">
        <v>2.1920000000000002</v>
      </c>
      <c r="J462" s="1" t="s">
        <v>770</v>
      </c>
      <c r="K462">
        <v>107464310</v>
      </c>
      <c r="L462" s="2">
        <v>45188</v>
      </c>
      <c r="M462">
        <v>28</v>
      </c>
      <c r="N462">
        <v>1</v>
      </c>
      <c r="O462">
        <v>0</v>
      </c>
      <c r="P462">
        <v>1</v>
      </c>
      <c r="Q462" t="s">
        <v>7</v>
      </c>
    </row>
    <row r="463" spans="1:22">
      <c r="A463" t="s">
        <v>1021</v>
      </c>
      <c r="B463" s="672" t="s">
        <v>962</v>
      </c>
      <c r="C463">
        <v>0</v>
      </c>
      <c r="E463" s="674" t="s">
        <v>968</v>
      </c>
      <c r="F463" s="674" t="s">
        <v>977</v>
      </c>
      <c r="G463" s="672" t="s">
        <v>962</v>
      </c>
      <c r="H463">
        <v>2.1920000000000002</v>
      </c>
      <c r="J463" s="1" t="s">
        <v>770</v>
      </c>
      <c r="K463">
        <v>105561216</v>
      </c>
      <c r="L463" s="2">
        <v>43307</v>
      </c>
      <c r="M463">
        <v>21</v>
      </c>
      <c r="N463">
        <v>1</v>
      </c>
      <c r="O463">
        <v>7</v>
      </c>
      <c r="P463">
        <v>1</v>
      </c>
      <c r="Q463" t="s">
        <v>7</v>
      </c>
    </row>
    <row r="464" spans="1:22">
      <c r="A464" t="s">
        <v>970</v>
      </c>
      <c r="B464" s="672" t="s">
        <v>962</v>
      </c>
      <c r="C464">
        <v>0.1</v>
      </c>
      <c r="D464" t="s">
        <v>756</v>
      </c>
      <c r="E464" s="674" t="s">
        <v>968</v>
      </c>
      <c r="F464" s="674" t="s">
        <v>977</v>
      </c>
      <c r="G464" s="672" t="s">
        <v>962</v>
      </c>
      <c r="H464">
        <v>2.1920000000000002</v>
      </c>
      <c r="J464" s="1" t="s">
        <v>770</v>
      </c>
      <c r="K464">
        <v>108101869</v>
      </c>
      <c r="L464" s="2">
        <v>45783</v>
      </c>
      <c r="M464">
        <v>28</v>
      </c>
      <c r="N464">
        <v>1</v>
      </c>
      <c r="O464">
        <v>0</v>
      </c>
      <c r="P464">
        <v>1</v>
      </c>
      <c r="Q464" t="s">
        <v>7</v>
      </c>
      <c r="R464">
        <v>35.177053000000001</v>
      </c>
      <c r="S464">
        <v>-79.43338</v>
      </c>
      <c r="T464" t="s">
        <v>761</v>
      </c>
      <c r="U464" t="s">
        <v>367</v>
      </c>
      <c r="V464">
        <v>0.31609999999999999</v>
      </c>
    </row>
    <row r="465" spans="1:22">
      <c r="A465" t="s">
        <v>754</v>
      </c>
      <c r="B465" s="672" t="s">
        <v>962</v>
      </c>
      <c r="C465">
        <v>0</v>
      </c>
      <c r="E465" s="674" t="s">
        <v>968</v>
      </c>
      <c r="F465" s="675" t="s">
        <v>979</v>
      </c>
      <c r="G465" s="672" t="s">
        <v>962</v>
      </c>
      <c r="H465">
        <v>2.1920000000000002</v>
      </c>
      <c r="J465" s="1" t="s">
        <v>770</v>
      </c>
      <c r="K465">
        <v>107313737</v>
      </c>
      <c r="L465" s="2">
        <v>45030</v>
      </c>
      <c r="M465">
        <v>26</v>
      </c>
      <c r="N465">
        <v>2</v>
      </c>
      <c r="O465">
        <v>7</v>
      </c>
      <c r="P465">
        <v>1</v>
      </c>
      <c r="Q465" t="s">
        <v>7</v>
      </c>
    </row>
    <row r="466" spans="1:22">
      <c r="A466" t="s">
        <v>754</v>
      </c>
      <c r="B466" s="672" t="s">
        <v>962</v>
      </c>
      <c r="C466">
        <v>1.2999999999999999E-2</v>
      </c>
      <c r="D466" t="s">
        <v>756</v>
      </c>
      <c r="E466" s="674" t="s">
        <v>968</v>
      </c>
      <c r="F466" t="s">
        <v>1104</v>
      </c>
      <c r="G466" s="672" t="s">
        <v>962</v>
      </c>
      <c r="H466">
        <v>2.1920000000000002</v>
      </c>
      <c r="J466" s="1" t="s">
        <v>770</v>
      </c>
      <c r="K466">
        <v>107649200</v>
      </c>
      <c r="L466" s="2">
        <v>45358</v>
      </c>
      <c r="M466">
        <v>21</v>
      </c>
      <c r="N466">
        <v>2</v>
      </c>
      <c r="O466">
        <v>0</v>
      </c>
      <c r="P466">
        <v>1</v>
      </c>
      <c r="Q466" t="s">
        <v>7</v>
      </c>
      <c r="R466">
        <v>35.177639999999997</v>
      </c>
      <c r="S466">
        <v>-79.430779999999999</v>
      </c>
      <c r="T466" t="s">
        <v>761</v>
      </c>
      <c r="U466" t="s">
        <v>367</v>
      </c>
      <c r="V466">
        <v>0.16389999999999999</v>
      </c>
    </row>
    <row r="467" spans="1:22">
      <c r="A467" t="s">
        <v>754</v>
      </c>
      <c r="B467" s="672" t="s">
        <v>962</v>
      </c>
      <c r="C467">
        <v>0</v>
      </c>
      <c r="E467" t="s">
        <v>1022</v>
      </c>
      <c r="F467" s="674" t="s">
        <v>968</v>
      </c>
      <c r="G467" s="672" t="s">
        <v>962</v>
      </c>
      <c r="H467">
        <v>999.99900000000002</v>
      </c>
      <c r="J467" s="1" t="s">
        <v>770</v>
      </c>
      <c r="K467">
        <v>108470825</v>
      </c>
      <c r="L467" s="2">
        <v>46125</v>
      </c>
      <c r="M467">
        <v>26</v>
      </c>
      <c r="N467">
        <v>1</v>
      </c>
      <c r="O467">
        <v>8</v>
      </c>
      <c r="P467">
        <v>1</v>
      </c>
      <c r="Q467" t="s">
        <v>7</v>
      </c>
      <c r="R467">
        <v>35.178049999999999</v>
      </c>
      <c r="S467">
        <v>-79.429919999999996</v>
      </c>
      <c r="T467" t="s">
        <v>755</v>
      </c>
      <c r="U467" t="s">
        <v>367</v>
      </c>
      <c r="V467">
        <v>0.11119999999999999</v>
      </c>
    </row>
    <row r="468" spans="1:22">
      <c r="A468" t="s">
        <v>1021</v>
      </c>
      <c r="B468" s="672" t="s">
        <v>961</v>
      </c>
      <c r="C468">
        <v>2E-3</v>
      </c>
      <c r="D468" t="s">
        <v>758</v>
      </c>
      <c r="E468" s="674" t="s">
        <v>968</v>
      </c>
      <c r="F468" t="s">
        <v>973</v>
      </c>
      <c r="G468" s="672" t="s">
        <v>961</v>
      </c>
      <c r="H468">
        <v>0</v>
      </c>
      <c r="J468" s="1" t="s">
        <v>770</v>
      </c>
      <c r="K468">
        <v>106710804</v>
      </c>
      <c r="L468" s="2">
        <v>44460</v>
      </c>
      <c r="M468">
        <v>21</v>
      </c>
      <c r="N468">
        <v>2</v>
      </c>
      <c r="O468">
        <v>7</v>
      </c>
      <c r="P468">
        <v>1</v>
      </c>
      <c r="Q468" t="s">
        <v>7</v>
      </c>
    </row>
    <row r="469" spans="1:22">
      <c r="A469" t="s">
        <v>754</v>
      </c>
      <c r="B469" s="672" t="s">
        <v>961</v>
      </c>
      <c r="C469">
        <v>1.6E-2</v>
      </c>
      <c r="D469" t="s">
        <v>758</v>
      </c>
      <c r="E469" s="674" t="s">
        <v>968</v>
      </c>
      <c r="F469" t="s">
        <v>973</v>
      </c>
      <c r="G469" s="672" t="s">
        <v>961</v>
      </c>
      <c r="H469">
        <v>0</v>
      </c>
      <c r="J469" s="1" t="s">
        <v>770</v>
      </c>
      <c r="K469">
        <v>107947711</v>
      </c>
      <c r="L469" s="2">
        <v>45631</v>
      </c>
      <c r="M469">
        <v>21</v>
      </c>
      <c r="N469">
        <v>1</v>
      </c>
      <c r="O469">
        <v>7</v>
      </c>
      <c r="P469">
        <v>1</v>
      </c>
      <c r="Q469" t="s">
        <v>3</v>
      </c>
      <c r="R469">
        <v>35.177079999999997</v>
      </c>
      <c r="S469">
        <v>-79.431610000000006</v>
      </c>
      <c r="T469" t="s">
        <v>761</v>
      </c>
      <c r="U469" t="s">
        <v>367</v>
      </c>
      <c r="V469">
        <v>0.22009999999999999</v>
      </c>
    </row>
    <row r="470" spans="1:22">
      <c r="A470" t="s">
        <v>754</v>
      </c>
      <c r="B470" s="672" t="s">
        <v>961</v>
      </c>
      <c r="C470">
        <v>0</v>
      </c>
      <c r="E470" s="674" t="s">
        <v>968</v>
      </c>
      <c r="F470" t="s">
        <v>1024</v>
      </c>
      <c r="G470" s="672" t="s">
        <v>961</v>
      </c>
      <c r="H470">
        <v>0</v>
      </c>
      <c r="J470" s="1" t="s">
        <v>770</v>
      </c>
      <c r="K470">
        <v>108594348</v>
      </c>
      <c r="L470" s="2">
        <v>46247</v>
      </c>
      <c r="M470">
        <v>23</v>
      </c>
      <c r="N470">
        <v>1</v>
      </c>
      <c r="O470">
        <v>7</v>
      </c>
      <c r="P470">
        <v>5</v>
      </c>
      <c r="Q470" t="s">
        <v>7</v>
      </c>
      <c r="R470">
        <v>35.177419999999998</v>
      </c>
      <c r="S470">
        <v>-79.431749999999994</v>
      </c>
      <c r="T470" t="s">
        <v>755</v>
      </c>
      <c r="U470" t="s">
        <v>367</v>
      </c>
      <c r="V470">
        <v>0.22070000000000001</v>
      </c>
    </row>
    <row r="471" spans="1:22">
      <c r="A471" t="s">
        <v>1021</v>
      </c>
      <c r="B471" s="672" t="s">
        <v>965</v>
      </c>
      <c r="C471">
        <v>3.0000000000000001E-3</v>
      </c>
      <c r="D471" t="s">
        <v>756</v>
      </c>
      <c r="E471" s="674" t="s">
        <v>1080</v>
      </c>
      <c r="F471" s="674" t="s">
        <v>977</v>
      </c>
      <c r="G471" s="672" t="s">
        <v>961</v>
      </c>
      <c r="H471">
        <v>3.0000000000000001E-3</v>
      </c>
      <c r="J471" s="1" t="s">
        <v>770</v>
      </c>
      <c r="K471">
        <v>107230268</v>
      </c>
      <c r="L471" s="2">
        <v>44957</v>
      </c>
      <c r="M471">
        <v>21</v>
      </c>
      <c r="N471">
        <v>1</v>
      </c>
      <c r="O471">
        <v>7</v>
      </c>
      <c r="P471">
        <v>1</v>
      </c>
      <c r="Q471" t="s">
        <v>7</v>
      </c>
    </row>
    <row r="472" spans="1:22">
      <c r="A472" t="s">
        <v>1021</v>
      </c>
      <c r="B472" s="672" t="s">
        <v>965</v>
      </c>
      <c r="C472">
        <v>3.1E-2</v>
      </c>
      <c r="D472" t="s">
        <v>756</v>
      </c>
      <c r="E472" s="674" t="s">
        <v>968</v>
      </c>
      <c r="G472" s="672" t="s">
        <v>961</v>
      </c>
      <c r="H472">
        <v>3.1E-2</v>
      </c>
      <c r="J472" s="1" t="s">
        <v>770</v>
      </c>
      <c r="K472">
        <v>106167499</v>
      </c>
      <c r="L472" s="2">
        <v>43844</v>
      </c>
      <c r="M472">
        <v>21</v>
      </c>
      <c r="N472">
        <v>2</v>
      </c>
      <c r="O472">
        <v>0</v>
      </c>
      <c r="P472">
        <v>1</v>
      </c>
      <c r="Q472" t="s">
        <v>3</v>
      </c>
    </row>
    <row r="473" spans="1:22">
      <c r="A473" t="s">
        <v>1021</v>
      </c>
      <c r="B473" s="672" t="s">
        <v>965</v>
      </c>
      <c r="C473">
        <v>3.7999999999999999E-2</v>
      </c>
      <c r="D473" t="s">
        <v>756</v>
      </c>
      <c r="E473" s="674" t="s">
        <v>968</v>
      </c>
      <c r="F473" s="675" t="s">
        <v>964</v>
      </c>
      <c r="G473" s="672" t="s">
        <v>961</v>
      </c>
      <c r="H473">
        <v>3.7999999999999999E-2</v>
      </c>
      <c r="J473" s="1" t="s">
        <v>770</v>
      </c>
      <c r="K473">
        <v>107629002</v>
      </c>
      <c r="L473" s="2">
        <v>45342</v>
      </c>
      <c r="M473">
        <v>23</v>
      </c>
      <c r="N473">
        <v>1</v>
      </c>
      <c r="O473">
        <v>0</v>
      </c>
      <c r="P473">
        <v>1</v>
      </c>
      <c r="Q473" t="s">
        <v>7</v>
      </c>
    </row>
    <row r="474" spans="1:22">
      <c r="A474" t="s">
        <v>1021</v>
      </c>
      <c r="B474" s="672" t="s">
        <v>965</v>
      </c>
      <c r="C474">
        <v>5.7000000000000002E-2</v>
      </c>
      <c r="D474" t="s">
        <v>756</v>
      </c>
      <c r="E474" s="674" t="s">
        <v>968</v>
      </c>
      <c r="G474" s="672" t="s">
        <v>961</v>
      </c>
      <c r="H474">
        <v>5.7000000000000002E-2</v>
      </c>
      <c r="J474" s="1" t="s">
        <v>770</v>
      </c>
      <c r="K474">
        <v>106802363</v>
      </c>
      <c r="L474" s="2">
        <v>44508</v>
      </c>
      <c r="M474">
        <v>30</v>
      </c>
      <c r="N474">
        <v>1</v>
      </c>
      <c r="O474">
        <v>8</v>
      </c>
      <c r="P474">
        <v>1</v>
      </c>
      <c r="Q474" t="s">
        <v>7</v>
      </c>
    </row>
    <row r="475" spans="1:22">
      <c r="A475" t="s">
        <v>1021</v>
      </c>
      <c r="B475" s="672" t="s">
        <v>965</v>
      </c>
      <c r="C475">
        <v>0</v>
      </c>
      <c r="E475" t="s">
        <v>1022</v>
      </c>
      <c r="F475" s="674" t="s">
        <v>968</v>
      </c>
      <c r="G475" s="672" t="s">
        <v>961</v>
      </c>
      <c r="H475">
        <v>0.21099999999999999</v>
      </c>
      <c r="J475" s="1" t="s">
        <v>770</v>
      </c>
      <c r="K475">
        <v>106802282</v>
      </c>
      <c r="L475" s="2">
        <v>44479</v>
      </c>
      <c r="M475">
        <v>30</v>
      </c>
      <c r="N475">
        <v>1</v>
      </c>
      <c r="O475">
        <v>0</v>
      </c>
      <c r="P475">
        <v>1</v>
      </c>
      <c r="Q475" t="s">
        <v>7</v>
      </c>
    </row>
    <row r="476" spans="1:22">
      <c r="A476" t="s">
        <v>1021</v>
      </c>
      <c r="B476" t="s">
        <v>1022</v>
      </c>
      <c r="C476">
        <v>0</v>
      </c>
      <c r="D476" t="s">
        <v>6</v>
      </c>
      <c r="E476" s="672" t="s">
        <v>965</v>
      </c>
      <c r="G476" s="672" t="s">
        <v>961</v>
      </c>
      <c r="H476">
        <v>0.21099999999999999</v>
      </c>
      <c r="J476" s="1" t="s">
        <v>770</v>
      </c>
      <c r="K476">
        <v>106802406</v>
      </c>
      <c r="L476" s="2">
        <v>44523</v>
      </c>
      <c r="M476">
        <v>21</v>
      </c>
      <c r="N476">
        <v>1</v>
      </c>
      <c r="O476">
        <v>0</v>
      </c>
      <c r="P476">
        <v>1</v>
      </c>
      <c r="Q476" t="s">
        <v>7</v>
      </c>
    </row>
    <row r="477" spans="1:22">
      <c r="A477" t="s">
        <v>1021</v>
      </c>
      <c r="B477" s="672" t="s">
        <v>965</v>
      </c>
      <c r="C477">
        <v>0.28199999999999997</v>
      </c>
      <c r="D477" t="s">
        <v>756</v>
      </c>
      <c r="E477" s="674" t="s">
        <v>1080</v>
      </c>
      <c r="F477" s="675" t="s">
        <v>1020</v>
      </c>
      <c r="G477" s="672" t="s">
        <v>961</v>
      </c>
      <c r="H477">
        <v>0.28199999999999997</v>
      </c>
      <c r="J477" s="1" t="s">
        <v>770</v>
      </c>
      <c r="K477">
        <v>106802398</v>
      </c>
      <c r="L477" s="2">
        <v>44520</v>
      </c>
      <c r="M477">
        <v>17</v>
      </c>
      <c r="N477">
        <v>1</v>
      </c>
      <c r="O477">
        <v>0</v>
      </c>
      <c r="P477">
        <v>5</v>
      </c>
      <c r="Q477" t="s">
        <v>7</v>
      </c>
    </row>
    <row r="478" spans="1:22">
      <c r="A478" t="s">
        <v>1021</v>
      </c>
      <c r="B478" s="672" t="s">
        <v>965</v>
      </c>
      <c r="C478">
        <v>0</v>
      </c>
      <c r="E478" s="675" t="s">
        <v>1020</v>
      </c>
      <c r="G478" s="672" t="s">
        <v>961</v>
      </c>
      <c r="H478">
        <v>0.34</v>
      </c>
      <c r="J478" s="1" t="s">
        <v>770</v>
      </c>
      <c r="K478">
        <v>106416194</v>
      </c>
      <c r="L478" s="2">
        <v>44146</v>
      </c>
      <c r="M478">
        <v>13</v>
      </c>
      <c r="N478">
        <v>2</v>
      </c>
      <c r="P478">
        <v>1</v>
      </c>
      <c r="Q478" t="s">
        <v>8</v>
      </c>
    </row>
    <row r="479" spans="1:22">
      <c r="A479" t="s">
        <v>1021</v>
      </c>
      <c r="B479" s="672" t="s">
        <v>965</v>
      </c>
      <c r="C479">
        <v>0.32</v>
      </c>
      <c r="D479" t="s">
        <v>758</v>
      </c>
      <c r="E479" s="675" t="s">
        <v>1023</v>
      </c>
      <c r="F479" s="675" t="s">
        <v>1020</v>
      </c>
      <c r="G479" s="672" t="s">
        <v>961</v>
      </c>
      <c r="H479">
        <v>0.34499999999999997</v>
      </c>
      <c r="J479" s="1" t="s">
        <v>770</v>
      </c>
      <c r="K479">
        <v>106802186</v>
      </c>
      <c r="L479" s="2">
        <v>44418</v>
      </c>
      <c r="M479">
        <v>28</v>
      </c>
      <c r="N479">
        <v>1</v>
      </c>
      <c r="O479">
        <v>7</v>
      </c>
      <c r="P479">
        <v>1</v>
      </c>
      <c r="Q479" t="s">
        <v>7</v>
      </c>
    </row>
    <row r="480" spans="1:22">
      <c r="A480" t="s">
        <v>1021</v>
      </c>
      <c r="B480" s="672" t="s">
        <v>965</v>
      </c>
      <c r="C480">
        <v>2.8000000000000001E-2</v>
      </c>
      <c r="D480" t="s">
        <v>756</v>
      </c>
      <c r="E480" s="675" t="s">
        <v>1020</v>
      </c>
      <c r="F480" s="675" t="s">
        <v>1023</v>
      </c>
      <c r="G480" s="672" t="s">
        <v>961</v>
      </c>
      <c r="H480">
        <v>0.36799999999999999</v>
      </c>
      <c r="J480" s="1" t="s">
        <v>770</v>
      </c>
      <c r="K480">
        <v>108315433</v>
      </c>
      <c r="L480" s="2">
        <v>45983</v>
      </c>
      <c r="M480">
        <v>17</v>
      </c>
      <c r="N480">
        <v>1</v>
      </c>
      <c r="O480">
        <v>0</v>
      </c>
      <c r="P480">
        <v>4</v>
      </c>
      <c r="Q480" t="s">
        <v>7</v>
      </c>
    </row>
    <row r="481" spans="1:17">
      <c r="A481" t="s">
        <v>1021</v>
      </c>
      <c r="B481" s="672" t="s">
        <v>965</v>
      </c>
      <c r="C481">
        <v>5.7000000000000002E-2</v>
      </c>
      <c r="D481" t="s">
        <v>762</v>
      </c>
      <c r="E481" s="675" t="s">
        <v>1020</v>
      </c>
      <c r="F481" s="675" t="s">
        <v>1023</v>
      </c>
      <c r="G481" s="672" t="s">
        <v>961</v>
      </c>
      <c r="H481">
        <v>0.39700000000000002</v>
      </c>
      <c r="J481" s="1" t="s">
        <v>770</v>
      </c>
      <c r="K481">
        <v>108474558</v>
      </c>
      <c r="L481" s="2">
        <v>46133</v>
      </c>
      <c r="M481">
        <v>2</v>
      </c>
      <c r="N481">
        <v>1</v>
      </c>
      <c r="O481">
        <v>0</v>
      </c>
      <c r="P481">
        <v>1</v>
      </c>
      <c r="Q481" t="s">
        <v>7</v>
      </c>
    </row>
    <row r="482" spans="1:17">
      <c r="A482" t="s">
        <v>1021</v>
      </c>
      <c r="B482" s="672" t="s">
        <v>965</v>
      </c>
      <c r="C482">
        <v>7.5999999999999998E-2</v>
      </c>
      <c r="D482" t="s">
        <v>762</v>
      </c>
      <c r="E482" s="675" t="s">
        <v>1020</v>
      </c>
      <c r="F482" s="675" t="s">
        <v>1023</v>
      </c>
      <c r="G482" s="672" t="s">
        <v>961</v>
      </c>
      <c r="H482">
        <v>0.41599999999999998</v>
      </c>
      <c r="J482" s="1" t="s">
        <v>770</v>
      </c>
      <c r="K482">
        <v>108324784</v>
      </c>
      <c r="L482" s="2">
        <v>45991</v>
      </c>
      <c r="M482">
        <v>17</v>
      </c>
      <c r="N482">
        <v>1</v>
      </c>
      <c r="O482">
        <v>0</v>
      </c>
      <c r="P482">
        <v>5</v>
      </c>
      <c r="Q482" t="s">
        <v>7</v>
      </c>
    </row>
    <row r="483" spans="1:17">
      <c r="A483" t="s">
        <v>1021</v>
      </c>
      <c r="B483" s="672" t="s">
        <v>965</v>
      </c>
      <c r="C483">
        <v>0.5</v>
      </c>
      <c r="D483" t="s">
        <v>756</v>
      </c>
      <c r="E483" s="674" t="s">
        <v>968</v>
      </c>
      <c r="F483" t="s">
        <v>1159</v>
      </c>
      <c r="G483" s="672" t="s">
        <v>961</v>
      </c>
      <c r="H483">
        <v>0.5</v>
      </c>
      <c r="J483" s="1" t="s">
        <v>770</v>
      </c>
      <c r="K483">
        <v>107173238</v>
      </c>
      <c r="L483" s="2">
        <v>44897</v>
      </c>
      <c r="M483">
        <v>17</v>
      </c>
      <c r="N483">
        <v>1</v>
      </c>
      <c r="O483">
        <v>0</v>
      </c>
      <c r="P483">
        <v>1</v>
      </c>
      <c r="Q483" t="s">
        <v>7</v>
      </c>
    </row>
    <row r="484" spans="1:17">
      <c r="A484" t="s">
        <v>1021</v>
      </c>
      <c r="B484" s="672" t="s">
        <v>965</v>
      </c>
      <c r="C484">
        <v>0.151</v>
      </c>
      <c r="D484" t="s">
        <v>758</v>
      </c>
      <c r="E484" s="675" t="s">
        <v>1023</v>
      </c>
      <c r="F484" s="675" t="s">
        <v>1020</v>
      </c>
      <c r="G484" s="672" t="s">
        <v>961</v>
      </c>
      <c r="H484">
        <v>0.51400000000000001</v>
      </c>
      <c r="J484" s="1" t="s">
        <v>770</v>
      </c>
      <c r="K484">
        <v>106871183</v>
      </c>
      <c r="L484" s="2">
        <v>44615</v>
      </c>
      <c r="M484">
        <v>17</v>
      </c>
      <c r="N484">
        <v>1</v>
      </c>
      <c r="O484">
        <v>0</v>
      </c>
      <c r="P484">
        <v>5</v>
      </c>
      <c r="Q484" t="s">
        <v>7</v>
      </c>
    </row>
    <row r="485" spans="1:17">
      <c r="A485" t="s">
        <v>1021</v>
      </c>
      <c r="B485" s="672" t="s">
        <v>965</v>
      </c>
      <c r="C485">
        <v>0.15</v>
      </c>
      <c r="D485" t="s">
        <v>758</v>
      </c>
      <c r="E485" s="672" t="s">
        <v>1037</v>
      </c>
      <c r="F485" t="s">
        <v>1038</v>
      </c>
      <c r="G485" s="672" t="s">
        <v>961</v>
      </c>
      <c r="H485">
        <v>0.51500000000000001</v>
      </c>
      <c r="J485" s="1" t="s">
        <v>770</v>
      </c>
      <c r="K485">
        <v>108545121</v>
      </c>
      <c r="L485" s="2">
        <v>46203</v>
      </c>
      <c r="M485">
        <v>18</v>
      </c>
      <c r="N485">
        <v>1</v>
      </c>
      <c r="O485">
        <v>0</v>
      </c>
      <c r="P485">
        <v>1</v>
      </c>
      <c r="Q485" t="s">
        <v>7</v>
      </c>
    </row>
    <row r="486" spans="1:17">
      <c r="A486" t="s">
        <v>1021</v>
      </c>
      <c r="B486" s="672" t="s">
        <v>965</v>
      </c>
      <c r="C486">
        <v>4.7E-2</v>
      </c>
      <c r="D486" t="s">
        <v>758</v>
      </c>
      <c r="E486" s="675" t="s">
        <v>1023</v>
      </c>
      <c r="F486" t="s">
        <v>1056</v>
      </c>
      <c r="G486" s="672" t="s">
        <v>961</v>
      </c>
      <c r="H486">
        <v>0.61799999999999999</v>
      </c>
      <c r="J486" s="1" t="s">
        <v>770</v>
      </c>
      <c r="K486">
        <v>107173234</v>
      </c>
      <c r="L486" s="2">
        <v>44895</v>
      </c>
      <c r="M486">
        <v>17</v>
      </c>
      <c r="N486">
        <v>1</v>
      </c>
      <c r="O486">
        <v>0</v>
      </c>
      <c r="P486">
        <v>5</v>
      </c>
      <c r="Q486" t="s">
        <v>3</v>
      </c>
    </row>
    <row r="487" spans="1:17">
      <c r="A487" t="s">
        <v>1021</v>
      </c>
      <c r="B487" s="672" t="s">
        <v>965</v>
      </c>
      <c r="C487">
        <v>3.7999999999999999E-2</v>
      </c>
      <c r="D487" t="s">
        <v>765</v>
      </c>
      <c r="E487" s="675" t="s">
        <v>1023</v>
      </c>
      <c r="F487" s="675" t="s">
        <v>1020</v>
      </c>
      <c r="G487" s="672" t="s">
        <v>961</v>
      </c>
      <c r="H487">
        <v>0.627</v>
      </c>
      <c r="J487" s="1" t="s">
        <v>770</v>
      </c>
      <c r="K487">
        <v>107819536</v>
      </c>
      <c r="L487" s="2">
        <v>45519</v>
      </c>
      <c r="M487">
        <v>28</v>
      </c>
      <c r="N487">
        <v>1</v>
      </c>
      <c r="O487">
        <v>0</v>
      </c>
      <c r="P487">
        <v>1</v>
      </c>
      <c r="Q487" t="s">
        <v>7</v>
      </c>
    </row>
    <row r="488" spans="1:17">
      <c r="A488" t="s">
        <v>1021</v>
      </c>
      <c r="B488" s="672" t="s">
        <v>965</v>
      </c>
      <c r="C488">
        <v>0.2</v>
      </c>
      <c r="D488" t="s">
        <v>758</v>
      </c>
      <c r="E488" t="s">
        <v>1039</v>
      </c>
      <c r="F488" s="675" t="s">
        <v>1023</v>
      </c>
      <c r="G488" s="672" t="s">
        <v>961</v>
      </c>
      <c r="H488">
        <v>0.63900000000000001</v>
      </c>
      <c r="J488" s="1" t="s">
        <v>770</v>
      </c>
      <c r="K488">
        <v>105646386</v>
      </c>
      <c r="L488" s="2">
        <v>43378</v>
      </c>
      <c r="M488">
        <v>21</v>
      </c>
      <c r="N488">
        <v>1</v>
      </c>
      <c r="O488">
        <v>7</v>
      </c>
      <c r="P488">
        <v>1</v>
      </c>
      <c r="Q488" t="s">
        <v>3</v>
      </c>
    </row>
    <row r="489" spans="1:17">
      <c r="A489" t="s">
        <v>1021</v>
      </c>
      <c r="B489" s="672" t="s">
        <v>965</v>
      </c>
      <c r="C489">
        <v>0.3</v>
      </c>
      <c r="D489" t="s">
        <v>756</v>
      </c>
      <c r="E489" s="675" t="s">
        <v>1020</v>
      </c>
      <c r="F489" s="675" t="s">
        <v>1023</v>
      </c>
      <c r="G489" s="672" t="s">
        <v>961</v>
      </c>
      <c r="H489">
        <v>0.64</v>
      </c>
      <c r="J489" s="1" t="s">
        <v>770</v>
      </c>
      <c r="K489">
        <v>106802281</v>
      </c>
      <c r="L489" s="2">
        <v>44478</v>
      </c>
      <c r="M489">
        <v>21</v>
      </c>
      <c r="N489">
        <v>1</v>
      </c>
      <c r="O489">
        <v>0</v>
      </c>
      <c r="P489">
        <v>1</v>
      </c>
      <c r="Q489" t="s">
        <v>7</v>
      </c>
    </row>
    <row r="490" spans="1:17">
      <c r="A490" t="s">
        <v>1021</v>
      </c>
      <c r="B490" s="672" t="s">
        <v>965</v>
      </c>
      <c r="C490">
        <v>1.9E-2</v>
      </c>
      <c r="D490" t="s">
        <v>765</v>
      </c>
      <c r="E490" s="675" t="s">
        <v>1023</v>
      </c>
      <c r="F490" s="675" t="s">
        <v>1020</v>
      </c>
      <c r="G490" s="672" t="s">
        <v>961</v>
      </c>
      <c r="H490">
        <v>0.64600000000000002</v>
      </c>
      <c r="J490" s="1" t="s">
        <v>770</v>
      </c>
      <c r="K490">
        <v>107644019</v>
      </c>
      <c r="L490" s="2">
        <v>45355</v>
      </c>
      <c r="M490">
        <v>21</v>
      </c>
      <c r="N490">
        <v>1</v>
      </c>
      <c r="O490">
        <v>0</v>
      </c>
      <c r="P490">
        <v>1</v>
      </c>
      <c r="Q490" t="s">
        <v>7</v>
      </c>
    </row>
    <row r="491" spans="1:17">
      <c r="A491" t="s">
        <v>1021</v>
      </c>
      <c r="B491" s="675" t="s">
        <v>1023</v>
      </c>
      <c r="C491">
        <v>0</v>
      </c>
      <c r="E491" s="672" t="s">
        <v>965</v>
      </c>
      <c r="F491" t="s">
        <v>1135</v>
      </c>
      <c r="G491" s="672" t="s">
        <v>961</v>
      </c>
      <c r="H491">
        <v>0.66500000000000004</v>
      </c>
      <c r="J491" s="1" t="s">
        <v>770</v>
      </c>
      <c r="K491">
        <v>106802345</v>
      </c>
      <c r="L491" s="2">
        <v>44502</v>
      </c>
      <c r="M491">
        <v>23</v>
      </c>
      <c r="N491">
        <v>1</v>
      </c>
      <c r="O491">
        <v>7</v>
      </c>
      <c r="P491">
        <v>5</v>
      </c>
      <c r="Q491" t="s">
        <v>3</v>
      </c>
    </row>
    <row r="492" spans="1:17">
      <c r="A492" t="s">
        <v>1021</v>
      </c>
      <c r="B492" s="675" t="s">
        <v>1023</v>
      </c>
      <c r="C492">
        <v>0</v>
      </c>
      <c r="E492" s="672" t="s">
        <v>965</v>
      </c>
      <c r="F492" t="s">
        <v>1067</v>
      </c>
      <c r="G492" s="672" t="s">
        <v>961</v>
      </c>
      <c r="H492">
        <v>0.66500000000000004</v>
      </c>
      <c r="J492" s="1" t="s">
        <v>770</v>
      </c>
      <c r="K492">
        <v>106480728</v>
      </c>
      <c r="L492" s="2">
        <v>44183</v>
      </c>
      <c r="M492">
        <v>21</v>
      </c>
      <c r="N492">
        <v>1</v>
      </c>
      <c r="O492">
        <v>7</v>
      </c>
      <c r="P492">
        <v>1</v>
      </c>
      <c r="Q492" t="s">
        <v>7</v>
      </c>
    </row>
    <row r="493" spans="1:17">
      <c r="A493" t="s">
        <v>1021</v>
      </c>
      <c r="B493" s="675" t="s">
        <v>1023</v>
      </c>
      <c r="C493">
        <v>0</v>
      </c>
      <c r="E493" s="672" t="s">
        <v>965</v>
      </c>
      <c r="F493" s="672" t="s">
        <v>1037</v>
      </c>
      <c r="G493" s="672" t="s">
        <v>961</v>
      </c>
      <c r="H493">
        <v>0.66500000000000004</v>
      </c>
      <c r="J493" s="1" t="s">
        <v>770</v>
      </c>
      <c r="K493">
        <v>107506776</v>
      </c>
      <c r="L493" s="2">
        <v>45228</v>
      </c>
      <c r="M493">
        <v>26</v>
      </c>
      <c r="N493">
        <v>1</v>
      </c>
      <c r="O493">
        <v>7</v>
      </c>
      <c r="P493">
        <v>1</v>
      </c>
      <c r="Q493" t="s">
        <v>7</v>
      </c>
    </row>
    <row r="494" spans="1:17">
      <c r="A494" t="s">
        <v>1021</v>
      </c>
      <c r="B494" s="675" t="s">
        <v>1023</v>
      </c>
      <c r="C494">
        <v>0</v>
      </c>
      <c r="E494" s="672" t="s">
        <v>965</v>
      </c>
      <c r="F494" s="672" t="s">
        <v>1037</v>
      </c>
      <c r="G494" s="672" t="s">
        <v>961</v>
      </c>
      <c r="H494">
        <v>0.66500000000000004</v>
      </c>
      <c r="J494" s="1" t="s">
        <v>770</v>
      </c>
      <c r="K494">
        <v>106883178</v>
      </c>
      <c r="L494" s="2">
        <v>44628</v>
      </c>
      <c r="M494">
        <v>28</v>
      </c>
      <c r="N494">
        <v>2</v>
      </c>
      <c r="O494">
        <v>7</v>
      </c>
      <c r="P494">
        <v>2</v>
      </c>
      <c r="Q494" t="s">
        <v>7</v>
      </c>
    </row>
    <row r="495" spans="1:17">
      <c r="A495" t="s">
        <v>1021</v>
      </c>
      <c r="B495" s="675" t="s">
        <v>1023</v>
      </c>
      <c r="C495">
        <v>0</v>
      </c>
      <c r="E495" s="672" t="s">
        <v>965</v>
      </c>
      <c r="F495" s="672" t="s">
        <v>1037</v>
      </c>
      <c r="G495" s="672" t="s">
        <v>961</v>
      </c>
      <c r="H495">
        <v>0.66500000000000004</v>
      </c>
      <c r="J495" s="1" t="s">
        <v>770</v>
      </c>
      <c r="K495">
        <v>106001233</v>
      </c>
      <c r="L495" s="2">
        <v>43712</v>
      </c>
      <c r="M495">
        <v>30</v>
      </c>
      <c r="N495">
        <v>1</v>
      </c>
      <c r="O495">
        <v>7</v>
      </c>
      <c r="P495">
        <v>7</v>
      </c>
      <c r="Q495" t="s">
        <v>7</v>
      </c>
    </row>
    <row r="496" spans="1:17">
      <c r="A496" t="s">
        <v>1021</v>
      </c>
      <c r="B496" s="675" t="s">
        <v>1023</v>
      </c>
      <c r="C496">
        <v>0</v>
      </c>
      <c r="D496" t="s">
        <v>6</v>
      </c>
      <c r="E496" s="672" t="s">
        <v>965</v>
      </c>
      <c r="F496" s="672" t="s">
        <v>1037</v>
      </c>
      <c r="G496" s="672" t="s">
        <v>961</v>
      </c>
      <c r="H496">
        <v>0.66500000000000004</v>
      </c>
      <c r="J496" s="1" t="s">
        <v>770</v>
      </c>
      <c r="K496">
        <v>107993612</v>
      </c>
      <c r="L496" s="2">
        <v>45674</v>
      </c>
      <c r="M496">
        <v>30</v>
      </c>
      <c r="N496">
        <v>1</v>
      </c>
      <c r="O496">
        <v>0</v>
      </c>
      <c r="P496">
        <v>1</v>
      </c>
      <c r="Q496" t="s">
        <v>7</v>
      </c>
    </row>
    <row r="497" spans="1:22">
      <c r="A497" t="s">
        <v>1021</v>
      </c>
      <c r="B497" s="675" t="s">
        <v>1023</v>
      </c>
      <c r="C497">
        <v>0</v>
      </c>
      <c r="E497" s="672" t="s">
        <v>965</v>
      </c>
      <c r="F497" t="s">
        <v>1042</v>
      </c>
      <c r="G497" s="672" t="s">
        <v>961</v>
      </c>
      <c r="H497">
        <v>0.66500000000000004</v>
      </c>
      <c r="J497" s="1" t="s">
        <v>770</v>
      </c>
      <c r="K497">
        <v>107920550</v>
      </c>
      <c r="L497" s="2">
        <v>45610</v>
      </c>
      <c r="M497">
        <v>15</v>
      </c>
      <c r="N497">
        <v>1</v>
      </c>
      <c r="O497">
        <v>0</v>
      </c>
      <c r="P497">
        <v>1</v>
      </c>
      <c r="Q497" t="s">
        <v>3</v>
      </c>
      <c r="R497">
        <v>35.175645000000003</v>
      </c>
      <c r="S497">
        <v>-79.420618000000005</v>
      </c>
      <c r="T497" t="s">
        <v>1060</v>
      </c>
      <c r="U497" t="s">
        <v>367</v>
      </c>
      <c r="V497">
        <v>0.45029999999999998</v>
      </c>
    </row>
    <row r="498" spans="1:22">
      <c r="A498" t="s">
        <v>1021</v>
      </c>
      <c r="B498" s="675" t="s">
        <v>1023</v>
      </c>
      <c r="C498">
        <v>0</v>
      </c>
      <c r="E498" s="672" t="s">
        <v>965</v>
      </c>
      <c r="F498" t="s">
        <v>1042</v>
      </c>
      <c r="G498" s="672" t="s">
        <v>961</v>
      </c>
      <c r="H498">
        <v>0.66500000000000004</v>
      </c>
      <c r="J498" s="1" t="s">
        <v>770</v>
      </c>
      <c r="K498">
        <v>107863754</v>
      </c>
      <c r="L498" s="2">
        <v>45561</v>
      </c>
      <c r="M498">
        <v>21</v>
      </c>
      <c r="N498">
        <v>2</v>
      </c>
      <c r="O498">
        <v>7</v>
      </c>
      <c r="P498">
        <v>1</v>
      </c>
      <c r="Q498" t="s">
        <v>7</v>
      </c>
    </row>
    <row r="499" spans="1:22">
      <c r="A499" t="s">
        <v>1021</v>
      </c>
      <c r="B499" s="675" t="s">
        <v>1023</v>
      </c>
      <c r="C499">
        <v>0</v>
      </c>
      <c r="E499" s="672" t="s">
        <v>965</v>
      </c>
      <c r="F499" t="s">
        <v>1042</v>
      </c>
      <c r="G499" s="672" t="s">
        <v>961</v>
      </c>
      <c r="H499">
        <v>0.66500000000000004</v>
      </c>
      <c r="J499" s="1" t="s">
        <v>770</v>
      </c>
      <c r="K499">
        <v>106000019</v>
      </c>
      <c r="L499" s="2">
        <v>43707</v>
      </c>
      <c r="M499">
        <v>22</v>
      </c>
      <c r="N499">
        <v>1</v>
      </c>
      <c r="O499">
        <v>7</v>
      </c>
      <c r="P499">
        <v>1</v>
      </c>
      <c r="Q499" t="s">
        <v>3</v>
      </c>
    </row>
    <row r="500" spans="1:22">
      <c r="A500" t="s">
        <v>1021</v>
      </c>
      <c r="B500" s="675" t="s">
        <v>1023</v>
      </c>
      <c r="C500">
        <v>0</v>
      </c>
      <c r="E500" s="672" t="s">
        <v>965</v>
      </c>
      <c r="G500" s="672" t="s">
        <v>961</v>
      </c>
      <c r="H500">
        <v>0.66500000000000004</v>
      </c>
      <c r="J500" s="1" t="s">
        <v>770</v>
      </c>
      <c r="K500">
        <v>107564797</v>
      </c>
      <c r="L500" s="2">
        <v>45275</v>
      </c>
      <c r="M500">
        <v>21</v>
      </c>
      <c r="N500">
        <v>1</v>
      </c>
      <c r="O500">
        <v>7</v>
      </c>
      <c r="P500">
        <v>4</v>
      </c>
      <c r="Q500" t="s">
        <v>7</v>
      </c>
    </row>
    <row r="501" spans="1:22">
      <c r="A501" t="s">
        <v>1021</v>
      </c>
      <c r="B501" s="672" t="s">
        <v>965</v>
      </c>
      <c r="C501">
        <v>0</v>
      </c>
      <c r="E501" s="675" t="s">
        <v>1023</v>
      </c>
      <c r="F501" t="s">
        <v>1135</v>
      </c>
      <c r="G501" s="672" t="s">
        <v>961</v>
      </c>
      <c r="H501">
        <v>0.66500000000000004</v>
      </c>
      <c r="J501" s="1" t="s">
        <v>770</v>
      </c>
      <c r="K501">
        <v>107050946</v>
      </c>
      <c r="L501" s="2">
        <v>44791</v>
      </c>
      <c r="M501">
        <v>28</v>
      </c>
      <c r="N501">
        <v>1</v>
      </c>
      <c r="O501">
        <v>0</v>
      </c>
      <c r="P501">
        <v>1</v>
      </c>
      <c r="Q501" t="s">
        <v>7</v>
      </c>
    </row>
    <row r="502" spans="1:22">
      <c r="A502" t="s">
        <v>1021</v>
      </c>
      <c r="B502" s="672" t="s">
        <v>965</v>
      </c>
      <c r="C502">
        <v>0</v>
      </c>
      <c r="E502" s="675" t="s">
        <v>1023</v>
      </c>
      <c r="F502" t="s">
        <v>1135</v>
      </c>
      <c r="G502" s="672" t="s">
        <v>961</v>
      </c>
      <c r="H502">
        <v>0.66500000000000004</v>
      </c>
      <c r="J502" s="1" t="s">
        <v>770</v>
      </c>
      <c r="K502">
        <v>107047314</v>
      </c>
      <c r="L502" s="2">
        <v>44789</v>
      </c>
      <c r="M502">
        <v>30</v>
      </c>
      <c r="N502">
        <v>2</v>
      </c>
      <c r="O502">
        <v>7</v>
      </c>
      <c r="P502">
        <v>1</v>
      </c>
      <c r="Q502" t="s">
        <v>7</v>
      </c>
    </row>
    <row r="503" spans="1:22">
      <c r="A503" t="s">
        <v>1021</v>
      </c>
      <c r="B503" s="672" t="s">
        <v>965</v>
      </c>
      <c r="C503">
        <v>0</v>
      </c>
      <c r="E503" s="675" t="s">
        <v>1023</v>
      </c>
      <c r="F503" t="s">
        <v>1038</v>
      </c>
      <c r="G503" s="672" t="s">
        <v>961</v>
      </c>
      <c r="H503">
        <v>0.66500000000000004</v>
      </c>
      <c r="J503" s="1" t="s">
        <v>770</v>
      </c>
      <c r="K503">
        <v>107963003</v>
      </c>
      <c r="L503" s="2">
        <v>45644</v>
      </c>
      <c r="M503">
        <v>23</v>
      </c>
      <c r="N503">
        <v>1</v>
      </c>
      <c r="O503">
        <v>7</v>
      </c>
      <c r="P503">
        <v>4</v>
      </c>
      <c r="Q503" t="s">
        <v>3</v>
      </c>
    </row>
    <row r="504" spans="1:22">
      <c r="A504" t="s">
        <v>1021</v>
      </c>
      <c r="B504" s="672" t="s">
        <v>965</v>
      </c>
      <c r="C504">
        <v>0</v>
      </c>
      <c r="D504" t="s">
        <v>756</v>
      </c>
      <c r="E504" s="675" t="s">
        <v>1023</v>
      </c>
      <c r="F504" t="s">
        <v>1064</v>
      </c>
      <c r="G504" s="672" t="s">
        <v>961</v>
      </c>
      <c r="H504">
        <v>0.66500000000000004</v>
      </c>
      <c r="J504" s="1" t="s">
        <v>770</v>
      </c>
      <c r="K504">
        <v>105514658</v>
      </c>
      <c r="L504" s="2">
        <v>43263</v>
      </c>
      <c r="M504">
        <v>30</v>
      </c>
      <c r="N504">
        <v>1</v>
      </c>
      <c r="O504">
        <v>7</v>
      </c>
      <c r="P504">
        <v>1</v>
      </c>
      <c r="Q504" t="s">
        <v>8</v>
      </c>
    </row>
    <row r="505" spans="1:22">
      <c r="A505" t="s">
        <v>1021</v>
      </c>
      <c r="B505" s="672" t="s">
        <v>965</v>
      </c>
      <c r="C505">
        <v>0</v>
      </c>
      <c r="E505" s="675" t="s">
        <v>1023</v>
      </c>
      <c r="F505" t="s">
        <v>1064</v>
      </c>
      <c r="G505" s="672" t="s">
        <v>961</v>
      </c>
      <c r="H505">
        <v>0.66500000000000004</v>
      </c>
      <c r="J505" s="1" t="s">
        <v>770</v>
      </c>
      <c r="K505">
        <v>106802290</v>
      </c>
      <c r="L505" s="2">
        <v>44483</v>
      </c>
      <c r="M505">
        <v>30</v>
      </c>
      <c r="N505">
        <v>1</v>
      </c>
      <c r="O505">
        <v>7</v>
      </c>
      <c r="P505">
        <v>1</v>
      </c>
      <c r="Q505" t="s">
        <v>3</v>
      </c>
    </row>
    <row r="506" spans="1:22">
      <c r="A506" t="s">
        <v>1021</v>
      </c>
      <c r="B506" s="672" t="s">
        <v>965</v>
      </c>
      <c r="C506">
        <v>0</v>
      </c>
      <c r="E506" s="675" t="s">
        <v>1023</v>
      </c>
      <c r="F506" t="s">
        <v>1056</v>
      </c>
      <c r="G506" s="672" t="s">
        <v>961</v>
      </c>
      <c r="H506">
        <v>0.66500000000000004</v>
      </c>
      <c r="J506" s="1" t="s">
        <v>770</v>
      </c>
      <c r="K506">
        <v>106802231</v>
      </c>
      <c r="L506" s="2">
        <v>44451</v>
      </c>
      <c r="M506">
        <v>21</v>
      </c>
      <c r="N506">
        <v>1</v>
      </c>
      <c r="O506">
        <v>7</v>
      </c>
      <c r="P506">
        <v>1</v>
      </c>
      <c r="Q506" t="s">
        <v>7</v>
      </c>
    </row>
    <row r="507" spans="1:22">
      <c r="A507" t="s">
        <v>1021</v>
      </c>
      <c r="B507" s="672" t="s">
        <v>965</v>
      </c>
      <c r="C507">
        <v>0</v>
      </c>
      <c r="E507" s="675" t="s">
        <v>1023</v>
      </c>
      <c r="F507" t="s">
        <v>1056</v>
      </c>
      <c r="G507" s="672" t="s">
        <v>961</v>
      </c>
      <c r="H507">
        <v>0.66500000000000004</v>
      </c>
      <c r="J507" s="1" t="s">
        <v>770</v>
      </c>
      <c r="K507">
        <v>105277907</v>
      </c>
      <c r="L507" s="2">
        <v>43036</v>
      </c>
      <c r="M507">
        <v>30</v>
      </c>
      <c r="N507">
        <v>1</v>
      </c>
      <c r="O507">
        <v>7</v>
      </c>
      <c r="P507">
        <v>5</v>
      </c>
      <c r="Q507" t="s">
        <v>7</v>
      </c>
    </row>
    <row r="508" spans="1:22">
      <c r="A508" t="s">
        <v>1021</v>
      </c>
      <c r="B508" s="672" t="s">
        <v>965</v>
      </c>
      <c r="C508">
        <v>0</v>
      </c>
      <c r="E508" s="675" t="s">
        <v>1023</v>
      </c>
      <c r="F508" t="s">
        <v>1067</v>
      </c>
      <c r="G508" s="672" t="s">
        <v>961</v>
      </c>
      <c r="H508">
        <v>0.66500000000000004</v>
      </c>
      <c r="J508" s="1" t="s">
        <v>770</v>
      </c>
      <c r="K508">
        <v>105233221</v>
      </c>
      <c r="L508" s="2">
        <v>42983</v>
      </c>
      <c r="M508">
        <v>30</v>
      </c>
      <c r="N508">
        <v>1</v>
      </c>
      <c r="O508">
        <v>7</v>
      </c>
      <c r="P508">
        <v>1</v>
      </c>
      <c r="Q508" t="s">
        <v>8</v>
      </c>
    </row>
    <row r="509" spans="1:22">
      <c r="A509" t="s">
        <v>1021</v>
      </c>
      <c r="B509" s="672" t="s">
        <v>965</v>
      </c>
      <c r="C509">
        <v>0</v>
      </c>
      <c r="E509" s="675" t="s">
        <v>1023</v>
      </c>
      <c r="F509" s="672" t="s">
        <v>1037</v>
      </c>
      <c r="G509" s="672" t="s">
        <v>961</v>
      </c>
      <c r="H509">
        <v>0.66500000000000004</v>
      </c>
      <c r="J509" s="1" t="s">
        <v>770</v>
      </c>
      <c r="K509">
        <v>107275210</v>
      </c>
      <c r="L509" s="2">
        <v>45002</v>
      </c>
      <c r="M509">
        <v>0</v>
      </c>
      <c r="N509">
        <v>2</v>
      </c>
      <c r="O509">
        <v>7</v>
      </c>
      <c r="P509">
        <v>4</v>
      </c>
      <c r="Q509" t="s">
        <v>3</v>
      </c>
    </row>
    <row r="510" spans="1:22">
      <c r="A510" t="s">
        <v>1021</v>
      </c>
      <c r="B510" s="672" t="s">
        <v>965</v>
      </c>
      <c r="C510">
        <v>0</v>
      </c>
      <c r="D510" t="s">
        <v>756</v>
      </c>
      <c r="E510" s="675" t="s">
        <v>1023</v>
      </c>
      <c r="F510" s="672" t="s">
        <v>1037</v>
      </c>
      <c r="G510" s="672" t="s">
        <v>961</v>
      </c>
      <c r="H510">
        <v>0.66500000000000004</v>
      </c>
      <c r="J510" s="1" t="s">
        <v>770</v>
      </c>
      <c r="K510">
        <v>106802337</v>
      </c>
      <c r="L510" s="2">
        <v>44500</v>
      </c>
      <c r="M510">
        <v>21</v>
      </c>
      <c r="N510">
        <v>1</v>
      </c>
      <c r="O510">
        <v>7</v>
      </c>
      <c r="P510">
        <v>1</v>
      </c>
      <c r="Q510" t="s">
        <v>7</v>
      </c>
    </row>
    <row r="511" spans="1:22">
      <c r="A511" t="s">
        <v>1021</v>
      </c>
      <c r="B511" s="672" t="s">
        <v>965</v>
      </c>
      <c r="C511">
        <v>0</v>
      </c>
      <c r="E511" s="675" t="s">
        <v>1023</v>
      </c>
      <c r="F511" s="672" t="s">
        <v>1037</v>
      </c>
      <c r="G511" s="672" t="s">
        <v>961</v>
      </c>
      <c r="H511">
        <v>0.66500000000000004</v>
      </c>
      <c r="J511" s="1" t="s">
        <v>770</v>
      </c>
      <c r="K511">
        <v>105881663</v>
      </c>
      <c r="L511" s="2">
        <v>43595</v>
      </c>
      <c r="M511">
        <v>27</v>
      </c>
      <c r="N511">
        <v>1</v>
      </c>
      <c r="O511">
        <v>7</v>
      </c>
      <c r="P511">
        <v>5</v>
      </c>
      <c r="Q511" t="s">
        <v>7</v>
      </c>
    </row>
    <row r="512" spans="1:22">
      <c r="A512" t="s">
        <v>1021</v>
      </c>
      <c r="B512" s="672" t="s">
        <v>965</v>
      </c>
      <c r="C512">
        <v>0</v>
      </c>
      <c r="E512" s="675" t="s">
        <v>1023</v>
      </c>
      <c r="F512" s="672" t="s">
        <v>1037</v>
      </c>
      <c r="G512" s="672" t="s">
        <v>961</v>
      </c>
      <c r="H512">
        <v>0.66500000000000004</v>
      </c>
      <c r="J512" s="1" t="s">
        <v>770</v>
      </c>
      <c r="K512">
        <v>108009366</v>
      </c>
      <c r="L512" s="2">
        <v>45689</v>
      </c>
      <c r="M512">
        <v>28</v>
      </c>
      <c r="N512">
        <v>1</v>
      </c>
      <c r="O512">
        <v>7</v>
      </c>
      <c r="P512">
        <v>1</v>
      </c>
      <c r="Q512" t="s">
        <v>7</v>
      </c>
    </row>
    <row r="513" spans="1:17">
      <c r="A513" t="s">
        <v>1021</v>
      </c>
      <c r="B513" s="672" t="s">
        <v>965</v>
      </c>
      <c r="C513">
        <v>0</v>
      </c>
      <c r="E513" s="675" t="s">
        <v>1023</v>
      </c>
      <c r="F513" s="672" t="s">
        <v>1037</v>
      </c>
      <c r="G513" s="672" t="s">
        <v>961</v>
      </c>
      <c r="H513">
        <v>0.66500000000000004</v>
      </c>
      <c r="J513" s="1" t="s">
        <v>770</v>
      </c>
      <c r="K513">
        <v>106521746</v>
      </c>
      <c r="L513" s="2">
        <v>44233</v>
      </c>
      <c r="M513">
        <v>30</v>
      </c>
      <c r="N513">
        <v>2</v>
      </c>
      <c r="O513">
        <v>7</v>
      </c>
      <c r="P513">
        <v>5</v>
      </c>
      <c r="Q513" t="s">
        <v>7</v>
      </c>
    </row>
    <row r="514" spans="1:17">
      <c r="A514" t="s">
        <v>1021</v>
      </c>
      <c r="B514" s="672" t="s">
        <v>965</v>
      </c>
      <c r="C514">
        <v>0</v>
      </c>
      <c r="E514" s="675" t="s">
        <v>1023</v>
      </c>
      <c r="F514" s="672" t="s">
        <v>1037</v>
      </c>
      <c r="G514" s="672" t="s">
        <v>961</v>
      </c>
      <c r="H514">
        <v>0.66500000000000004</v>
      </c>
      <c r="J514" s="1" t="s">
        <v>770</v>
      </c>
      <c r="K514">
        <v>106868723</v>
      </c>
      <c r="L514" s="2">
        <v>44613</v>
      </c>
      <c r="M514">
        <v>30</v>
      </c>
      <c r="N514">
        <v>1</v>
      </c>
      <c r="O514">
        <v>7</v>
      </c>
      <c r="P514">
        <v>1</v>
      </c>
      <c r="Q514" t="s">
        <v>7</v>
      </c>
    </row>
    <row r="515" spans="1:17">
      <c r="A515" t="s">
        <v>1021</v>
      </c>
      <c r="B515" s="672" t="s">
        <v>965</v>
      </c>
      <c r="C515">
        <v>0</v>
      </c>
      <c r="E515" s="675" t="s">
        <v>1023</v>
      </c>
      <c r="F515" s="672" t="s">
        <v>1037</v>
      </c>
      <c r="G515" s="672" t="s">
        <v>961</v>
      </c>
      <c r="H515">
        <v>0.66500000000000004</v>
      </c>
      <c r="J515" s="1" t="s">
        <v>770</v>
      </c>
      <c r="K515">
        <v>108153236</v>
      </c>
      <c r="L515" s="2">
        <v>45833</v>
      </c>
      <c r="M515">
        <v>30</v>
      </c>
      <c r="N515">
        <v>1</v>
      </c>
      <c r="O515">
        <v>7</v>
      </c>
      <c r="P515">
        <v>1</v>
      </c>
      <c r="Q515" t="s">
        <v>3</v>
      </c>
    </row>
    <row r="516" spans="1:17">
      <c r="A516" t="s">
        <v>1021</v>
      </c>
      <c r="B516" s="672" t="s">
        <v>965</v>
      </c>
      <c r="C516">
        <v>0</v>
      </c>
      <c r="E516" s="675" t="s">
        <v>1023</v>
      </c>
      <c r="F516" s="672" t="s">
        <v>1037</v>
      </c>
      <c r="G516" s="672" t="s">
        <v>961</v>
      </c>
      <c r="H516">
        <v>0.66500000000000004</v>
      </c>
      <c r="J516" s="1" t="s">
        <v>770</v>
      </c>
      <c r="K516">
        <v>108410603</v>
      </c>
      <c r="L516" s="2">
        <v>46077</v>
      </c>
      <c r="M516">
        <v>30</v>
      </c>
      <c r="N516">
        <v>1</v>
      </c>
      <c r="O516">
        <v>7</v>
      </c>
      <c r="P516">
        <v>1</v>
      </c>
      <c r="Q516" t="s">
        <v>8</v>
      </c>
    </row>
    <row r="517" spans="1:17">
      <c r="A517" t="s">
        <v>1021</v>
      </c>
      <c r="B517" s="672" t="s">
        <v>965</v>
      </c>
      <c r="C517">
        <v>0</v>
      </c>
      <c r="E517" s="675" t="s">
        <v>1023</v>
      </c>
      <c r="F517" t="s">
        <v>1039</v>
      </c>
      <c r="G517" s="672" t="s">
        <v>961</v>
      </c>
      <c r="H517">
        <v>0.66500000000000004</v>
      </c>
      <c r="J517" s="1" t="s">
        <v>770</v>
      </c>
      <c r="K517">
        <v>106064309</v>
      </c>
      <c r="L517" s="2">
        <v>43756</v>
      </c>
      <c r="M517">
        <v>21</v>
      </c>
      <c r="N517">
        <v>1</v>
      </c>
      <c r="O517">
        <v>7</v>
      </c>
      <c r="P517">
        <v>3</v>
      </c>
      <c r="Q517" t="s">
        <v>7</v>
      </c>
    </row>
    <row r="518" spans="1:17">
      <c r="A518" t="s">
        <v>1021</v>
      </c>
      <c r="B518" s="672" t="s">
        <v>965</v>
      </c>
      <c r="C518">
        <v>0</v>
      </c>
      <c r="E518" s="675" t="s">
        <v>1023</v>
      </c>
      <c r="F518" t="s">
        <v>1039</v>
      </c>
      <c r="G518" s="672" t="s">
        <v>961</v>
      </c>
      <c r="H518">
        <v>0.66500000000000004</v>
      </c>
      <c r="J518" s="1" t="s">
        <v>770</v>
      </c>
      <c r="K518">
        <v>108465677</v>
      </c>
      <c r="L518" s="2">
        <v>46086</v>
      </c>
      <c r="M518">
        <v>21</v>
      </c>
      <c r="N518">
        <v>1</v>
      </c>
      <c r="O518">
        <v>7</v>
      </c>
      <c r="P518">
        <v>1</v>
      </c>
      <c r="Q518" t="s">
        <v>3</v>
      </c>
    </row>
    <row r="519" spans="1:17">
      <c r="A519" t="s">
        <v>1021</v>
      </c>
      <c r="B519" s="672" t="s">
        <v>965</v>
      </c>
      <c r="C519">
        <v>0</v>
      </c>
      <c r="E519" s="675" t="s">
        <v>1023</v>
      </c>
      <c r="F519" t="s">
        <v>1039</v>
      </c>
      <c r="G519" s="672" t="s">
        <v>961</v>
      </c>
      <c r="H519">
        <v>0.66500000000000004</v>
      </c>
      <c r="J519" s="1" t="s">
        <v>770</v>
      </c>
      <c r="K519">
        <v>107720323</v>
      </c>
      <c r="L519" s="2">
        <v>45427</v>
      </c>
      <c r="M519">
        <v>24</v>
      </c>
      <c r="N519">
        <v>1</v>
      </c>
      <c r="O519">
        <v>0</v>
      </c>
      <c r="P519">
        <v>1</v>
      </c>
      <c r="Q519" t="s">
        <v>7</v>
      </c>
    </row>
    <row r="520" spans="1:17">
      <c r="A520" t="s">
        <v>1021</v>
      </c>
      <c r="B520" s="672" t="s">
        <v>965</v>
      </c>
      <c r="C520">
        <v>0</v>
      </c>
      <c r="E520" s="675" t="s">
        <v>1023</v>
      </c>
      <c r="F520" t="s">
        <v>1039</v>
      </c>
      <c r="G520" s="672" t="s">
        <v>961</v>
      </c>
      <c r="H520">
        <v>0.66500000000000004</v>
      </c>
      <c r="J520" s="1" t="s">
        <v>770</v>
      </c>
      <c r="K520">
        <v>105984047</v>
      </c>
      <c r="L520" s="2">
        <v>43691</v>
      </c>
      <c r="M520">
        <v>30</v>
      </c>
      <c r="N520">
        <v>1</v>
      </c>
      <c r="O520">
        <v>7</v>
      </c>
      <c r="P520">
        <v>1</v>
      </c>
      <c r="Q520" t="s">
        <v>7</v>
      </c>
    </row>
    <row r="521" spans="1:17">
      <c r="A521" t="s">
        <v>1021</v>
      </c>
      <c r="B521" s="672" t="s">
        <v>965</v>
      </c>
      <c r="C521">
        <v>0</v>
      </c>
      <c r="E521" s="675" t="s">
        <v>1023</v>
      </c>
      <c r="F521" t="s">
        <v>1039</v>
      </c>
      <c r="G521" s="672" t="s">
        <v>961</v>
      </c>
      <c r="H521">
        <v>0.66500000000000004</v>
      </c>
      <c r="J521" s="1" t="s">
        <v>770</v>
      </c>
      <c r="K521">
        <v>106000030</v>
      </c>
      <c r="L521" s="2">
        <v>43709</v>
      </c>
      <c r="M521">
        <v>30</v>
      </c>
      <c r="N521">
        <v>1</v>
      </c>
      <c r="O521">
        <v>7</v>
      </c>
      <c r="P521">
        <v>1</v>
      </c>
      <c r="Q521" t="s">
        <v>8</v>
      </c>
    </row>
    <row r="522" spans="1:17">
      <c r="A522" t="s">
        <v>1021</v>
      </c>
      <c r="B522" s="672" t="s">
        <v>965</v>
      </c>
      <c r="C522">
        <v>0</v>
      </c>
      <c r="E522" s="675" t="s">
        <v>1023</v>
      </c>
      <c r="F522" t="s">
        <v>1039</v>
      </c>
      <c r="G522" s="672" t="s">
        <v>961</v>
      </c>
      <c r="H522">
        <v>0.66500000000000004</v>
      </c>
      <c r="J522" s="1" t="s">
        <v>770</v>
      </c>
      <c r="K522">
        <v>106350389</v>
      </c>
      <c r="L522" s="2">
        <v>44064</v>
      </c>
      <c r="M522">
        <v>30</v>
      </c>
      <c r="N522">
        <v>2</v>
      </c>
      <c r="O522">
        <v>7</v>
      </c>
      <c r="P522">
        <v>1</v>
      </c>
      <c r="Q522" t="s">
        <v>8</v>
      </c>
    </row>
    <row r="523" spans="1:17">
      <c r="A523" t="s">
        <v>1021</v>
      </c>
      <c r="B523" s="672" t="s">
        <v>965</v>
      </c>
      <c r="C523">
        <v>0</v>
      </c>
      <c r="E523" s="675" t="s">
        <v>1023</v>
      </c>
      <c r="F523" t="s">
        <v>1039</v>
      </c>
      <c r="G523" s="672" t="s">
        <v>961</v>
      </c>
      <c r="H523">
        <v>0.66500000000000004</v>
      </c>
      <c r="J523" s="1" t="s">
        <v>770</v>
      </c>
      <c r="K523">
        <v>106802304</v>
      </c>
      <c r="L523" s="2">
        <v>44490</v>
      </c>
      <c r="M523">
        <v>30</v>
      </c>
      <c r="N523">
        <v>1</v>
      </c>
      <c r="O523">
        <v>7</v>
      </c>
      <c r="P523">
        <v>1</v>
      </c>
      <c r="Q523" t="s">
        <v>7</v>
      </c>
    </row>
    <row r="524" spans="1:17">
      <c r="A524" t="s">
        <v>1021</v>
      </c>
      <c r="B524" s="672" t="s">
        <v>965</v>
      </c>
      <c r="C524">
        <v>0</v>
      </c>
      <c r="D524" t="s">
        <v>757</v>
      </c>
      <c r="E524" s="675" t="s">
        <v>1023</v>
      </c>
      <c r="F524" t="s">
        <v>1039</v>
      </c>
      <c r="G524" s="672" t="s">
        <v>961</v>
      </c>
      <c r="H524">
        <v>0.66500000000000004</v>
      </c>
      <c r="J524" s="1" t="s">
        <v>770</v>
      </c>
      <c r="K524">
        <v>107861683</v>
      </c>
      <c r="L524" s="2">
        <v>45560</v>
      </c>
      <c r="M524">
        <v>30</v>
      </c>
      <c r="N524">
        <v>1</v>
      </c>
      <c r="O524">
        <v>0</v>
      </c>
      <c r="P524">
        <v>1</v>
      </c>
      <c r="Q524" t="s">
        <v>7</v>
      </c>
    </row>
    <row r="525" spans="1:17">
      <c r="A525" t="s">
        <v>1021</v>
      </c>
      <c r="B525" s="672" t="s">
        <v>965</v>
      </c>
      <c r="C525">
        <v>0</v>
      </c>
      <c r="E525" s="675" t="s">
        <v>1023</v>
      </c>
      <c r="F525" t="s">
        <v>1039</v>
      </c>
      <c r="G525" s="672" t="s">
        <v>961</v>
      </c>
      <c r="H525">
        <v>0.66500000000000004</v>
      </c>
      <c r="J525" s="1" t="s">
        <v>770</v>
      </c>
      <c r="K525">
        <v>108236674</v>
      </c>
      <c r="L525" s="2">
        <v>45918</v>
      </c>
      <c r="M525">
        <v>30</v>
      </c>
      <c r="N525">
        <v>1</v>
      </c>
      <c r="O525">
        <v>7</v>
      </c>
      <c r="P525">
        <v>1</v>
      </c>
      <c r="Q525" t="s">
        <v>7</v>
      </c>
    </row>
    <row r="526" spans="1:17">
      <c r="A526" t="s">
        <v>1021</v>
      </c>
      <c r="B526" s="672" t="s">
        <v>965</v>
      </c>
      <c r="C526">
        <v>0</v>
      </c>
      <c r="E526" s="675" t="s">
        <v>1023</v>
      </c>
      <c r="F526" t="s">
        <v>1042</v>
      </c>
      <c r="G526" s="672" t="s">
        <v>961</v>
      </c>
      <c r="H526">
        <v>0.66500000000000004</v>
      </c>
      <c r="J526" s="1" t="s">
        <v>770</v>
      </c>
      <c r="K526">
        <v>107449158</v>
      </c>
      <c r="L526" s="2">
        <v>45175</v>
      </c>
      <c r="M526">
        <v>21</v>
      </c>
      <c r="N526">
        <v>1</v>
      </c>
      <c r="O526">
        <v>7</v>
      </c>
      <c r="P526">
        <v>1</v>
      </c>
      <c r="Q526" t="s">
        <v>7</v>
      </c>
    </row>
    <row r="527" spans="1:17">
      <c r="A527" t="s">
        <v>1021</v>
      </c>
      <c r="B527" s="672" t="s">
        <v>965</v>
      </c>
      <c r="C527">
        <v>0</v>
      </c>
      <c r="E527" s="675" t="s">
        <v>1023</v>
      </c>
      <c r="F527" t="s">
        <v>1042</v>
      </c>
      <c r="G527" s="672" t="s">
        <v>961</v>
      </c>
      <c r="H527">
        <v>0.66500000000000004</v>
      </c>
      <c r="J527" s="1" t="s">
        <v>770</v>
      </c>
      <c r="K527">
        <v>107694687</v>
      </c>
      <c r="L527" s="2">
        <v>45401</v>
      </c>
      <c r="M527">
        <v>23</v>
      </c>
      <c r="N527">
        <v>2</v>
      </c>
      <c r="O527">
        <v>7</v>
      </c>
      <c r="P527">
        <v>1</v>
      </c>
      <c r="Q527" t="s">
        <v>7</v>
      </c>
    </row>
    <row r="528" spans="1:17">
      <c r="A528" t="s">
        <v>1021</v>
      </c>
      <c r="B528" s="672" t="s">
        <v>965</v>
      </c>
      <c r="C528">
        <v>0</v>
      </c>
      <c r="E528" s="675" t="s">
        <v>1023</v>
      </c>
      <c r="F528" t="s">
        <v>1042</v>
      </c>
      <c r="G528" s="672" t="s">
        <v>961</v>
      </c>
      <c r="H528">
        <v>0.66500000000000004</v>
      </c>
      <c r="J528" s="1" t="s">
        <v>770</v>
      </c>
      <c r="K528">
        <v>107116744</v>
      </c>
      <c r="L528" s="2">
        <v>44852</v>
      </c>
      <c r="M528">
        <v>30</v>
      </c>
      <c r="N528">
        <v>1</v>
      </c>
      <c r="O528">
        <v>7</v>
      </c>
      <c r="P528">
        <v>1</v>
      </c>
      <c r="Q528" t="s">
        <v>7</v>
      </c>
    </row>
    <row r="529" spans="1:17">
      <c r="A529" t="s">
        <v>1021</v>
      </c>
      <c r="B529" s="672" t="s">
        <v>965</v>
      </c>
      <c r="C529">
        <v>0</v>
      </c>
      <c r="E529" s="675" t="s">
        <v>1023</v>
      </c>
      <c r="F529" s="675" t="s">
        <v>1020</v>
      </c>
      <c r="G529" s="672" t="s">
        <v>961</v>
      </c>
      <c r="H529">
        <v>0.66500000000000004</v>
      </c>
      <c r="J529" s="1" t="s">
        <v>770</v>
      </c>
      <c r="K529">
        <v>106456200</v>
      </c>
      <c r="L529" s="2">
        <v>44176</v>
      </c>
      <c r="M529">
        <v>2</v>
      </c>
      <c r="N529">
        <v>1</v>
      </c>
      <c r="O529">
        <v>7</v>
      </c>
      <c r="P529">
        <v>1</v>
      </c>
      <c r="Q529" t="s">
        <v>3</v>
      </c>
    </row>
    <row r="530" spans="1:17">
      <c r="A530" t="s">
        <v>754</v>
      </c>
      <c r="B530" s="672" t="s">
        <v>965</v>
      </c>
      <c r="C530">
        <v>0</v>
      </c>
      <c r="E530" s="675" t="s">
        <v>1023</v>
      </c>
      <c r="F530" s="675" t="s">
        <v>1020</v>
      </c>
      <c r="G530" s="672" t="s">
        <v>961</v>
      </c>
      <c r="H530">
        <v>0.66500000000000004</v>
      </c>
      <c r="J530" s="1" t="s">
        <v>770</v>
      </c>
      <c r="K530">
        <v>106406717</v>
      </c>
      <c r="L530" s="2">
        <v>44124</v>
      </c>
      <c r="M530">
        <v>21</v>
      </c>
      <c r="N530">
        <v>1</v>
      </c>
      <c r="O530">
        <v>7</v>
      </c>
      <c r="P530">
        <v>1</v>
      </c>
      <c r="Q530" t="s">
        <v>7</v>
      </c>
    </row>
    <row r="531" spans="1:17">
      <c r="A531" t="s">
        <v>1021</v>
      </c>
      <c r="B531" s="672" t="s">
        <v>965</v>
      </c>
      <c r="C531">
        <v>0</v>
      </c>
      <c r="E531" s="675" t="s">
        <v>1023</v>
      </c>
      <c r="F531" s="675" t="s">
        <v>1020</v>
      </c>
      <c r="G531" s="672" t="s">
        <v>961</v>
      </c>
      <c r="H531">
        <v>0.66500000000000004</v>
      </c>
      <c r="J531" s="1" t="s">
        <v>770</v>
      </c>
      <c r="K531">
        <v>107779343</v>
      </c>
      <c r="L531" s="2">
        <v>45483</v>
      </c>
      <c r="M531">
        <v>21</v>
      </c>
      <c r="N531">
        <v>1</v>
      </c>
      <c r="O531">
        <v>7</v>
      </c>
      <c r="P531">
        <v>4</v>
      </c>
      <c r="Q531" t="s">
        <v>7</v>
      </c>
    </row>
    <row r="532" spans="1:17">
      <c r="A532" t="s">
        <v>1021</v>
      </c>
      <c r="B532" s="672" t="s">
        <v>965</v>
      </c>
      <c r="C532">
        <v>0</v>
      </c>
      <c r="E532" s="675" t="s">
        <v>1023</v>
      </c>
      <c r="F532" s="675" t="s">
        <v>1020</v>
      </c>
      <c r="G532" s="672" t="s">
        <v>961</v>
      </c>
      <c r="H532">
        <v>0.66500000000000004</v>
      </c>
      <c r="J532" s="1" t="s">
        <v>770</v>
      </c>
      <c r="K532">
        <v>107621369</v>
      </c>
      <c r="L532" s="2">
        <v>45327</v>
      </c>
      <c r="M532">
        <v>24</v>
      </c>
      <c r="N532">
        <v>1</v>
      </c>
      <c r="O532">
        <v>7</v>
      </c>
      <c r="P532">
        <v>1</v>
      </c>
      <c r="Q532" t="s">
        <v>10</v>
      </c>
    </row>
    <row r="533" spans="1:17">
      <c r="A533" t="s">
        <v>1021</v>
      </c>
      <c r="B533" s="672" t="s">
        <v>965</v>
      </c>
      <c r="C533">
        <v>0</v>
      </c>
      <c r="E533" s="675" t="s">
        <v>1023</v>
      </c>
      <c r="F533" s="675" t="s">
        <v>1020</v>
      </c>
      <c r="G533" s="672" t="s">
        <v>961</v>
      </c>
      <c r="H533">
        <v>0.66500000000000004</v>
      </c>
      <c r="J533" s="1" t="s">
        <v>770</v>
      </c>
      <c r="K533">
        <v>108595987</v>
      </c>
      <c r="L533" s="2">
        <v>46254</v>
      </c>
      <c r="M533">
        <v>28</v>
      </c>
      <c r="N533">
        <v>1</v>
      </c>
      <c r="O533">
        <v>7</v>
      </c>
      <c r="P533">
        <v>1</v>
      </c>
      <c r="Q533" t="s">
        <v>7</v>
      </c>
    </row>
    <row r="534" spans="1:17">
      <c r="A534" t="s">
        <v>1021</v>
      </c>
      <c r="B534" s="672" t="s">
        <v>965</v>
      </c>
      <c r="C534">
        <v>0</v>
      </c>
      <c r="E534" s="675" t="s">
        <v>1023</v>
      </c>
      <c r="F534" s="675" t="s">
        <v>1020</v>
      </c>
      <c r="G534" s="672" t="s">
        <v>961</v>
      </c>
      <c r="H534">
        <v>0.66500000000000004</v>
      </c>
      <c r="J534" s="1" t="s">
        <v>770</v>
      </c>
      <c r="K534">
        <v>105824332</v>
      </c>
      <c r="L534" s="2">
        <v>43545</v>
      </c>
      <c r="M534">
        <v>30</v>
      </c>
      <c r="N534">
        <v>2</v>
      </c>
      <c r="O534">
        <v>7</v>
      </c>
      <c r="P534">
        <v>1</v>
      </c>
      <c r="Q534" t="s">
        <v>3</v>
      </c>
    </row>
    <row r="535" spans="1:17">
      <c r="A535" t="s">
        <v>1021</v>
      </c>
      <c r="B535" s="672" t="s">
        <v>965</v>
      </c>
      <c r="C535">
        <v>0</v>
      </c>
      <c r="E535" s="675" t="s">
        <v>1023</v>
      </c>
      <c r="F535" s="675" t="s">
        <v>1020</v>
      </c>
      <c r="G535" s="672" t="s">
        <v>961</v>
      </c>
      <c r="H535">
        <v>0.66500000000000004</v>
      </c>
      <c r="J535" s="1" t="s">
        <v>770</v>
      </c>
      <c r="K535">
        <v>106502453</v>
      </c>
      <c r="L535" s="2">
        <v>44196</v>
      </c>
      <c r="M535">
        <v>30</v>
      </c>
      <c r="N535">
        <v>2</v>
      </c>
      <c r="O535">
        <v>7</v>
      </c>
      <c r="P535">
        <v>1</v>
      </c>
      <c r="Q535" t="s">
        <v>7</v>
      </c>
    </row>
    <row r="536" spans="1:17">
      <c r="A536" t="s">
        <v>1021</v>
      </c>
      <c r="B536" s="672" t="s">
        <v>965</v>
      </c>
      <c r="C536">
        <v>0</v>
      </c>
      <c r="E536" s="675" t="s">
        <v>1023</v>
      </c>
      <c r="F536" s="675" t="s">
        <v>1020</v>
      </c>
      <c r="G536" s="672" t="s">
        <v>961</v>
      </c>
      <c r="H536">
        <v>0.66500000000000004</v>
      </c>
      <c r="J536" s="1" t="s">
        <v>770</v>
      </c>
      <c r="K536">
        <v>106802225</v>
      </c>
      <c r="L536" s="2">
        <v>44443</v>
      </c>
      <c r="M536">
        <v>30</v>
      </c>
      <c r="N536">
        <v>1</v>
      </c>
      <c r="O536">
        <v>7</v>
      </c>
      <c r="P536">
        <v>5</v>
      </c>
      <c r="Q536" t="s">
        <v>3</v>
      </c>
    </row>
    <row r="537" spans="1:17">
      <c r="A537" t="s">
        <v>1021</v>
      </c>
      <c r="B537" s="672" t="s">
        <v>965</v>
      </c>
      <c r="C537">
        <v>0</v>
      </c>
      <c r="E537" s="675" t="s">
        <v>1023</v>
      </c>
      <c r="F537" s="674" t="s">
        <v>977</v>
      </c>
      <c r="G537" s="672" t="s">
        <v>961</v>
      </c>
      <c r="H537">
        <v>0.66500000000000004</v>
      </c>
      <c r="J537" s="1" t="s">
        <v>770</v>
      </c>
      <c r="K537">
        <v>107527142</v>
      </c>
      <c r="L537" s="2">
        <v>45244</v>
      </c>
      <c r="M537">
        <v>21</v>
      </c>
      <c r="N537">
        <v>1</v>
      </c>
      <c r="O537">
        <v>7</v>
      </c>
      <c r="P537">
        <v>4</v>
      </c>
      <c r="Q537" t="s">
        <v>7</v>
      </c>
    </row>
    <row r="538" spans="1:17">
      <c r="A538" t="s">
        <v>1021</v>
      </c>
      <c r="B538" s="672" t="s">
        <v>965</v>
      </c>
      <c r="C538">
        <v>0</v>
      </c>
      <c r="E538" s="675" t="s">
        <v>1023</v>
      </c>
      <c r="F538" t="s">
        <v>1104</v>
      </c>
      <c r="G538" s="672" t="s">
        <v>961</v>
      </c>
      <c r="H538">
        <v>0.66500000000000004</v>
      </c>
      <c r="J538" s="1" t="s">
        <v>770</v>
      </c>
      <c r="K538">
        <v>105962995</v>
      </c>
      <c r="L538" s="2">
        <v>43682</v>
      </c>
      <c r="M538">
        <v>21</v>
      </c>
      <c r="N538">
        <v>1</v>
      </c>
      <c r="O538">
        <v>7</v>
      </c>
      <c r="P538">
        <v>1</v>
      </c>
      <c r="Q538" t="s">
        <v>3</v>
      </c>
    </row>
    <row r="539" spans="1:17">
      <c r="A539" t="s">
        <v>1021</v>
      </c>
      <c r="B539" s="672" t="s">
        <v>965</v>
      </c>
      <c r="C539">
        <v>0</v>
      </c>
      <c r="E539" s="675" t="s">
        <v>1023</v>
      </c>
      <c r="G539" s="672" t="s">
        <v>961</v>
      </c>
      <c r="H539">
        <v>0.66500000000000004</v>
      </c>
      <c r="J539" s="1" t="s">
        <v>770</v>
      </c>
      <c r="K539">
        <v>108295169</v>
      </c>
      <c r="L539" s="2">
        <v>45967</v>
      </c>
      <c r="M539">
        <v>21</v>
      </c>
      <c r="N539">
        <v>1</v>
      </c>
      <c r="O539">
        <v>7</v>
      </c>
      <c r="P539">
        <v>2</v>
      </c>
      <c r="Q539" t="s">
        <v>7</v>
      </c>
    </row>
    <row r="540" spans="1:17">
      <c r="A540" t="s">
        <v>1021</v>
      </c>
      <c r="B540" s="672" t="s">
        <v>965</v>
      </c>
      <c r="C540">
        <v>0</v>
      </c>
      <c r="E540" s="675" t="s">
        <v>1023</v>
      </c>
      <c r="G540" s="672" t="s">
        <v>961</v>
      </c>
      <c r="H540">
        <v>0.66500000000000004</v>
      </c>
      <c r="J540" s="1" t="s">
        <v>770</v>
      </c>
      <c r="K540">
        <v>107580676</v>
      </c>
      <c r="L540" s="2">
        <v>45291</v>
      </c>
      <c r="M540">
        <v>23</v>
      </c>
      <c r="N540">
        <v>1</v>
      </c>
      <c r="O540">
        <v>7</v>
      </c>
      <c r="P540">
        <v>4</v>
      </c>
      <c r="Q540" t="s">
        <v>7</v>
      </c>
    </row>
    <row r="541" spans="1:17">
      <c r="A541" t="s">
        <v>1021</v>
      </c>
      <c r="B541" s="672" t="s">
        <v>965</v>
      </c>
      <c r="C541">
        <v>0</v>
      </c>
      <c r="E541" s="675" t="s">
        <v>1023</v>
      </c>
      <c r="G541" s="672" t="s">
        <v>961</v>
      </c>
      <c r="H541">
        <v>0.66500000000000004</v>
      </c>
      <c r="J541" s="1" t="s">
        <v>770</v>
      </c>
      <c r="K541">
        <v>108501760</v>
      </c>
      <c r="L541" s="2">
        <v>46153</v>
      </c>
      <c r="M541">
        <v>24</v>
      </c>
      <c r="N541">
        <v>1</v>
      </c>
      <c r="O541">
        <v>7</v>
      </c>
      <c r="P541">
        <v>3</v>
      </c>
      <c r="Q541" t="s">
        <v>9</v>
      </c>
    </row>
    <row r="542" spans="1:17">
      <c r="A542" t="s">
        <v>1021</v>
      </c>
      <c r="B542" s="672" t="s">
        <v>965</v>
      </c>
      <c r="C542">
        <v>0</v>
      </c>
      <c r="E542" s="675" t="s">
        <v>1023</v>
      </c>
      <c r="G542" s="672" t="s">
        <v>961</v>
      </c>
      <c r="H542">
        <v>0.66500000000000004</v>
      </c>
      <c r="J542" s="1" t="s">
        <v>770</v>
      </c>
      <c r="K542">
        <v>107729885</v>
      </c>
      <c r="L542" s="2">
        <v>45426</v>
      </c>
      <c r="M542">
        <v>26</v>
      </c>
      <c r="N542">
        <v>2</v>
      </c>
      <c r="O542">
        <v>7</v>
      </c>
      <c r="P542">
        <v>1</v>
      </c>
      <c r="Q542" t="s">
        <v>7</v>
      </c>
    </row>
    <row r="543" spans="1:17">
      <c r="A543" t="s">
        <v>1021</v>
      </c>
      <c r="B543" s="672" t="s">
        <v>965</v>
      </c>
      <c r="C543">
        <v>0</v>
      </c>
      <c r="D543" t="s">
        <v>756</v>
      </c>
      <c r="E543" s="675" t="s">
        <v>1023</v>
      </c>
      <c r="G543" s="672" t="s">
        <v>961</v>
      </c>
      <c r="H543">
        <v>0.66500000000000004</v>
      </c>
      <c r="J543" s="1" t="s">
        <v>770</v>
      </c>
      <c r="K543">
        <v>107049772</v>
      </c>
      <c r="L543" s="2">
        <v>44791</v>
      </c>
      <c r="M543">
        <v>28</v>
      </c>
      <c r="N543">
        <v>1</v>
      </c>
      <c r="O543">
        <v>7</v>
      </c>
      <c r="P543">
        <v>1</v>
      </c>
      <c r="Q543" t="s">
        <v>7</v>
      </c>
    </row>
    <row r="544" spans="1:17">
      <c r="A544" t="s">
        <v>1021</v>
      </c>
      <c r="B544" s="672" t="s">
        <v>965</v>
      </c>
      <c r="C544">
        <v>0</v>
      </c>
      <c r="E544" s="675" t="s">
        <v>1023</v>
      </c>
      <c r="G544" s="672" t="s">
        <v>961</v>
      </c>
      <c r="H544">
        <v>0.66500000000000004</v>
      </c>
      <c r="J544" s="1" t="s">
        <v>770</v>
      </c>
      <c r="K544">
        <v>107173227</v>
      </c>
      <c r="L544" s="2">
        <v>44891</v>
      </c>
      <c r="M544">
        <v>30</v>
      </c>
      <c r="N544">
        <v>1</v>
      </c>
      <c r="O544">
        <v>7</v>
      </c>
      <c r="P544">
        <v>1</v>
      </c>
      <c r="Q544" t="s">
        <v>7</v>
      </c>
    </row>
    <row r="545" spans="1:17">
      <c r="A545" t="s">
        <v>1021</v>
      </c>
      <c r="B545" s="672" t="s">
        <v>965</v>
      </c>
      <c r="C545">
        <v>0</v>
      </c>
      <c r="E545" s="675" t="s">
        <v>1023</v>
      </c>
      <c r="G545" s="672" t="s">
        <v>961</v>
      </c>
      <c r="H545">
        <v>0.66500000000000004</v>
      </c>
      <c r="J545" s="1" t="s">
        <v>770</v>
      </c>
      <c r="K545">
        <v>108594074</v>
      </c>
      <c r="L545" s="2">
        <v>46252</v>
      </c>
      <c r="M545">
        <v>30</v>
      </c>
      <c r="N545">
        <v>1</v>
      </c>
      <c r="O545">
        <v>7</v>
      </c>
      <c r="P545">
        <v>4</v>
      </c>
      <c r="Q545" t="s">
        <v>3</v>
      </c>
    </row>
    <row r="546" spans="1:17">
      <c r="A546" t="s">
        <v>1021</v>
      </c>
      <c r="B546" s="672" t="s">
        <v>965</v>
      </c>
      <c r="C546">
        <v>0</v>
      </c>
      <c r="E546" s="672" t="s">
        <v>1037</v>
      </c>
      <c r="F546" s="675" t="s">
        <v>1023</v>
      </c>
      <c r="G546" s="672" t="s">
        <v>961</v>
      </c>
      <c r="H546">
        <v>0.66500000000000004</v>
      </c>
      <c r="J546" s="1" t="s">
        <v>770</v>
      </c>
      <c r="K546">
        <v>107201538</v>
      </c>
      <c r="L546" s="2">
        <v>44910</v>
      </c>
      <c r="M546">
        <v>17</v>
      </c>
      <c r="N546">
        <v>2</v>
      </c>
      <c r="O546">
        <v>7</v>
      </c>
      <c r="P546">
        <v>1</v>
      </c>
      <c r="Q546" t="s">
        <v>7</v>
      </c>
    </row>
    <row r="547" spans="1:17">
      <c r="A547" t="s">
        <v>1021</v>
      </c>
      <c r="B547" s="672" t="s">
        <v>965</v>
      </c>
      <c r="C547">
        <v>0</v>
      </c>
      <c r="E547" s="672" t="s">
        <v>1037</v>
      </c>
      <c r="F547" t="s">
        <v>1064</v>
      </c>
      <c r="G547" s="672" t="s">
        <v>961</v>
      </c>
      <c r="H547">
        <v>0.66500000000000004</v>
      </c>
      <c r="J547" s="1" t="s">
        <v>770</v>
      </c>
      <c r="K547">
        <v>106416574</v>
      </c>
      <c r="L547" s="2">
        <v>44148</v>
      </c>
      <c r="M547">
        <v>25</v>
      </c>
      <c r="N547">
        <v>1</v>
      </c>
      <c r="P547">
        <v>1</v>
      </c>
      <c r="Q547" t="s">
        <v>7</v>
      </c>
    </row>
    <row r="548" spans="1:17">
      <c r="A548" t="s">
        <v>1021</v>
      </c>
      <c r="B548" s="672" t="s">
        <v>965</v>
      </c>
      <c r="C548">
        <v>2E-3</v>
      </c>
      <c r="D548" t="s">
        <v>756</v>
      </c>
      <c r="E548" s="675" t="s">
        <v>1023</v>
      </c>
      <c r="F548" t="s">
        <v>1039</v>
      </c>
      <c r="G548" s="672" t="s">
        <v>961</v>
      </c>
      <c r="H548">
        <v>0.66700000000000004</v>
      </c>
      <c r="J548" s="1" t="s">
        <v>770</v>
      </c>
      <c r="K548">
        <v>106806043</v>
      </c>
      <c r="L548" s="2">
        <v>44547</v>
      </c>
      <c r="M548">
        <v>21</v>
      </c>
      <c r="N548">
        <v>1</v>
      </c>
      <c r="O548">
        <v>7</v>
      </c>
      <c r="P548">
        <v>4</v>
      </c>
      <c r="Q548" t="s">
        <v>3</v>
      </c>
    </row>
    <row r="549" spans="1:17">
      <c r="A549" t="s">
        <v>1021</v>
      </c>
      <c r="B549" s="672" t="s">
        <v>965</v>
      </c>
      <c r="C549">
        <v>2E-3</v>
      </c>
      <c r="D549" t="s">
        <v>756</v>
      </c>
      <c r="E549" s="675" t="s">
        <v>1023</v>
      </c>
      <c r="F549" t="s">
        <v>1039</v>
      </c>
      <c r="G549" s="672" t="s">
        <v>961</v>
      </c>
      <c r="H549">
        <v>0.66700000000000004</v>
      </c>
      <c r="J549" s="1" t="s">
        <v>770</v>
      </c>
      <c r="K549">
        <v>106802149</v>
      </c>
      <c r="L549" s="2">
        <v>44396</v>
      </c>
      <c r="M549">
        <v>30</v>
      </c>
      <c r="N549">
        <v>1</v>
      </c>
      <c r="O549">
        <v>0</v>
      </c>
      <c r="P549">
        <v>4</v>
      </c>
      <c r="Q549" t="s">
        <v>7</v>
      </c>
    </row>
    <row r="550" spans="1:17">
      <c r="A550" t="s">
        <v>1021</v>
      </c>
      <c r="B550" s="672" t="s">
        <v>965</v>
      </c>
      <c r="C550">
        <v>3.0000000000000001E-3</v>
      </c>
      <c r="D550" t="s">
        <v>756</v>
      </c>
      <c r="E550" s="675" t="s">
        <v>1023</v>
      </c>
      <c r="F550" t="s">
        <v>1039</v>
      </c>
      <c r="G550" s="672" t="s">
        <v>961</v>
      </c>
      <c r="H550">
        <v>0.66800000000000004</v>
      </c>
      <c r="J550" s="1" t="s">
        <v>770</v>
      </c>
      <c r="K550">
        <v>105792569</v>
      </c>
      <c r="L550" s="2">
        <v>43521</v>
      </c>
      <c r="M550">
        <v>19</v>
      </c>
      <c r="N550">
        <v>1</v>
      </c>
      <c r="O550">
        <v>7</v>
      </c>
      <c r="P550">
        <v>1</v>
      </c>
      <c r="Q550" t="s">
        <v>7</v>
      </c>
    </row>
    <row r="551" spans="1:17">
      <c r="A551" t="s">
        <v>1021</v>
      </c>
      <c r="B551" s="672" t="s">
        <v>965</v>
      </c>
      <c r="C551">
        <v>2.3E-2</v>
      </c>
      <c r="D551" t="s">
        <v>756</v>
      </c>
      <c r="E551" s="675" t="s">
        <v>1023</v>
      </c>
      <c r="F551" t="s">
        <v>1148</v>
      </c>
      <c r="G551" s="672" t="s">
        <v>961</v>
      </c>
      <c r="H551">
        <v>0.68799999999999994</v>
      </c>
      <c r="J551" s="1" t="s">
        <v>770</v>
      </c>
      <c r="K551">
        <v>107203019</v>
      </c>
      <c r="L551" s="2">
        <v>44929</v>
      </c>
      <c r="M551">
        <v>28</v>
      </c>
      <c r="N551">
        <v>2</v>
      </c>
      <c r="O551">
        <v>0</v>
      </c>
      <c r="P551">
        <v>4</v>
      </c>
      <c r="Q551" t="s">
        <v>7</v>
      </c>
    </row>
    <row r="552" spans="1:17">
      <c r="A552" t="s">
        <v>1021</v>
      </c>
      <c r="B552" s="672" t="s">
        <v>965</v>
      </c>
      <c r="C552">
        <v>2.3E-2</v>
      </c>
      <c r="E552" s="675" t="s">
        <v>1023</v>
      </c>
      <c r="F552" t="s">
        <v>1064</v>
      </c>
      <c r="G552" s="672" t="s">
        <v>961</v>
      </c>
      <c r="H552">
        <v>0.68799999999999994</v>
      </c>
      <c r="I552" t="s">
        <v>61</v>
      </c>
      <c r="J552" s="1" t="s">
        <v>770</v>
      </c>
      <c r="K552">
        <v>105214574</v>
      </c>
      <c r="L552" s="2">
        <v>42970</v>
      </c>
      <c r="M552">
        <v>28</v>
      </c>
      <c r="N552">
        <v>1</v>
      </c>
      <c r="O552">
        <v>0</v>
      </c>
      <c r="P552">
        <v>2</v>
      </c>
      <c r="Q552" t="s">
        <v>7</v>
      </c>
    </row>
    <row r="553" spans="1:17">
      <c r="A553" t="s">
        <v>1021</v>
      </c>
      <c r="B553" s="672" t="s">
        <v>965</v>
      </c>
      <c r="C553">
        <v>2.8000000000000001E-2</v>
      </c>
      <c r="D553" t="s">
        <v>756</v>
      </c>
      <c r="E553" s="675" t="s">
        <v>1023</v>
      </c>
      <c r="F553" t="s">
        <v>1039</v>
      </c>
      <c r="G553" s="672" t="s">
        <v>961</v>
      </c>
      <c r="H553">
        <v>0.69299999999999995</v>
      </c>
      <c r="J553" s="1" t="s">
        <v>770</v>
      </c>
      <c r="K553">
        <v>107927943</v>
      </c>
      <c r="L553" s="2">
        <v>45616</v>
      </c>
      <c r="M553">
        <v>21</v>
      </c>
      <c r="N553">
        <v>2</v>
      </c>
      <c r="O553">
        <v>7</v>
      </c>
      <c r="P553">
        <v>1</v>
      </c>
      <c r="Q553" t="s">
        <v>7</v>
      </c>
    </row>
    <row r="554" spans="1:17">
      <c r="A554" t="s">
        <v>1021</v>
      </c>
      <c r="B554" s="672" t="s">
        <v>965</v>
      </c>
      <c r="C554">
        <v>6.8000000000000005E-2</v>
      </c>
      <c r="D554" t="s">
        <v>756</v>
      </c>
      <c r="E554" s="672" t="s">
        <v>1037</v>
      </c>
      <c r="F554" s="675" t="s">
        <v>1023</v>
      </c>
      <c r="G554" s="672" t="s">
        <v>961</v>
      </c>
      <c r="H554">
        <v>0.73299999999999998</v>
      </c>
      <c r="J554" s="1" t="s">
        <v>770</v>
      </c>
      <c r="K554">
        <v>108572505</v>
      </c>
      <c r="L554" s="2">
        <v>46231</v>
      </c>
      <c r="M554">
        <v>28</v>
      </c>
      <c r="N554">
        <v>1</v>
      </c>
      <c r="O554">
        <v>0</v>
      </c>
      <c r="P554">
        <v>1</v>
      </c>
      <c r="Q554" t="s">
        <v>3</v>
      </c>
    </row>
    <row r="555" spans="1:17">
      <c r="A555" t="s">
        <v>1021</v>
      </c>
      <c r="B555" s="672" t="s">
        <v>965</v>
      </c>
      <c r="C555">
        <v>0.4</v>
      </c>
      <c r="D555" t="s">
        <v>756</v>
      </c>
      <c r="E555" s="675" t="s">
        <v>1020</v>
      </c>
      <c r="F555" t="s">
        <v>1039</v>
      </c>
      <c r="G555" s="672" t="s">
        <v>961</v>
      </c>
      <c r="H555">
        <v>0.74</v>
      </c>
      <c r="J555" s="1" t="s">
        <v>770</v>
      </c>
      <c r="K555">
        <v>105311932</v>
      </c>
      <c r="L555" s="2">
        <v>43059</v>
      </c>
      <c r="M555">
        <v>30</v>
      </c>
      <c r="N555">
        <v>1</v>
      </c>
      <c r="O555">
        <v>7</v>
      </c>
      <c r="P555">
        <v>1</v>
      </c>
      <c r="Q555" t="s">
        <v>7</v>
      </c>
    </row>
    <row r="556" spans="1:17">
      <c r="A556" t="s">
        <v>1021</v>
      </c>
      <c r="B556" s="672" t="s">
        <v>965</v>
      </c>
      <c r="C556">
        <v>7.5999999999999998E-2</v>
      </c>
      <c r="D556" t="s">
        <v>756</v>
      </c>
      <c r="E556" s="675" t="s">
        <v>1023</v>
      </c>
      <c r="F556" t="s">
        <v>1039</v>
      </c>
      <c r="G556" s="672" t="s">
        <v>961</v>
      </c>
      <c r="H556">
        <v>0.74099999999999999</v>
      </c>
      <c r="J556" s="1" t="s">
        <v>770</v>
      </c>
      <c r="K556">
        <v>106802280</v>
      </c>
      <c r="L556" s="2">
        <v>44478</v>
      </c>
      <c r="M556">
        <v>28</v>
      </c>
      <c r="N556">
        <v>1</v>
      </c>
      <c r="O556">
        <v>0</v>
      </c>
      <c r="P556">
        <v>1</v>
      </c>
      <c r="Q556" t="s">
        <v>7</v>
      </c>
    </row>
    <row r="557" spans="1:17">
      <c r="A557" t="s">
        <v>1021</v>
      </c>
      <c r="B557" s="672" t="s">
        <v>965</v>
      </c>
      <c r="C557">
        <v>8.5000000000000006E-2</v>
      </c>
      <c r="D557" t="s">
        <v>758</v>
      </c>
      <c r="E557" t="s">
        <v>1039</v>
      </c>
      <c r="F557" s="675" t="s">
        <v>1023</v>
      </c>
      <c r="G557" s="672" t="s">
        <v>961</v>
      </c>
      <c r="H557">
        <v>0.754</v>
      </c>
      <c r="J557" s="1" t="s">
        <v>770</v>
      </c>
      <c r="K557">
        <v>107252249</v>
      </c>
      <c r="L557" s="2">
        <v>44979</v>
      </c>
      <c r="M557">
        <v>30</v>
      </c>
      <c r="N557">
        <v>1</v>
      </c>
      <c r="O557">
        <v>7</v>
      </c>
      <c r="P557">
        <v>1</v>
      </c>
      <c r="Q557" t="s">
        <v>3</v>
      </c>
    </row>
    <row r="558" spans="1:17">
      <c r="A558" t="s">
        <v>1021</v>
      </c>
      <c r="B558" s="672" t="s">
        <v>965</v>
      </c>
      <c r="C558">
        <v>0.1</v>
      </c>
      <c r="D558" t="s">
        <v>756</v>
      </c>
      <c r="E558" s="675" t="s">
        <v>1023</v>
      </c>
      <c r="F558" t="s">
        <v>1056</v>
      </c>
      <c r="G558" s="672" t="s">
        <v>961</v>
      </c>
      <c r="H558">
        <v>0.76500000000000001</v>
      </c>
      <c r="J558" s="1" t="s">
        <v>770</v>
      </c>
      <c r="K558">
        <v>105752238</v>
      </c>
      <c r="L558" s="2">
        <v>43478</v>
      </c>
      <c r="M558">
        <v>17</v>
      </c>
      <c r="N558">
        <v>2</v>
      </c>
      <c r="O558">
        <v>0</v>
      </c>
      <c r="P558">
        <v>5</v>
      </c>
      <c r="Q558" t="s">
        <v>7</v>
      </c>
    </row>
    <row r="559" spans="1:17">
      <c r="A559" t="s">
        <v>1021</v>
      </c>
      <c r="B559" s="672" t="s">
        <v>965</v>
      </c>
      <c r="C559">
        <v>7.0000000000000007E-2</v>
      </c>
      <c r="D559" t="s">
        <v>758</v>
      </c>
      <c r="E559" t="s">
        <v>1039</v>
      </c>
      <c r="F559" s="675" t="s">
        <v>1023</v>
      </c>
      <c r="G559" s="672" t="s">
        <v>961</v>
      </c>
      <c r="H559">
        <v>0.76900000000000002</v>
      </c>
      <c r="J559" s="1" t="s">
        <v>770</v>
      </c>
      <c r="K559">
        <v>108472389</v>
      </c>
      <c r="L559" s="2">
        <v>46132</v>
      </c>
      <c r="M559">
        <v>28</v>
      </c>
      <c r="N559">
        <v>1</v>
      </c>
      <c r="O559">
        <v>8</v>
      </c>
      <c r="P559">
        <v>1</v>
      </c>
      <c r="Q559" t="s">
        <v>7</v>
      </c>
    </row>
    <row r="560" spans="1:17">
      <c r="A560" t="s">
        <v>1021</v>
      </c>
      <c r="B560" s="672" t="s">
        <v>965</v>
      </c>
      <c r="C560">
        <v>8.9999999999999993E-3</v>
      </c>
      <c r="D560" t="s">
        <v>758</v>
      </c>
      <c r="E560" t="s">
        <v>1039</v>
      </c>
      <c r="F560" s="675" t="s">
        <v>1023</v>
      </c>
      <c r="G560" s="672" t="s">
        <v>961</v>
      </c>
      <c r="H560">
        <v>0.83</v>
      </c>
      <c r="J560" s="1" t="s">
        <v>770</v>
      </c>
      <c r="K560">
        <v>105536803</v>
      </c>
      <c r="L560" s="2">
        <v>43280</v>
      </c>
      <c r="M560">
        <v>21</v>
      </c>
      <c r="N560">
        <v>1</v>
      </c>
      <c r="O560">
        <v>8</v>
      </c>
      <c r="P560">
        <v>4</v>
      </c>
      <c r="Q560" t="s">
        <v>7</v>
      </c>
    </row>
    <row r="561" spans="1:17">
      <c r="A561" t="s">
        <v>1021</v>
      </c>
      <c r="B561" s="672" t="s">
        <v>965</v>
      </c>
      <c r="C561">
        <v>0</v>
      </c>
      <c r="E561" t="s">
        <v>1039</v>
      </c>
      <c r="F561" s="675" t="s">
        <v>1023</v>
      </c>
      <c r="G561" s="672" t="s">
        <v>961</v>
      </c>
      <c r="H561">
        <v>0.83899999999999997</v>
      </c>
      <c r="J561" s="1" t="s">
        <v>770</v>
      </c>
      <c r="K561">
        <v>107392896</v>
      </c>
      <c r="L561" s="2">
        <v>45118</v>
      </c>
      <c r="M561">
        <v>23</v>
      </c>
      <c r="N561">
        <v>1</v>
      </c>
      <c r="O561">
        <v>7</v>
      </c>
      <c r="P561">
        <v>1</v>
      </c>
      <c r="Q561" t="s">
        <v>8</v>
      </c>
    </row>
    <row r="562" spans="1:17">
      <c r="A562" t="s">
        <v>1021</v>
      </c>
      <c r="B562" s="672" t="s">
        <v>965</v>
      </c>
      <c r="C562">
        <v>0</v>
      </c>
      <c r="E562" t="s">
        <v>1039</v>
      </c>
      <c r="F562" t="s">
        <v>1038</v>
      </c>
      <c r="G562" s="672" t="s">
        <v>961</v>
      </c>
      <c r="H562">
        <v>0.83899999999999997</v>
      </c>
      <c r="J562" s="1" t="s">
        <v>770</v>
      </c>
      <c r="K562">
        <v>107440850</v>
      </c>
      <c r="L562" s="2">
        <v>45167</v>
      </c>
      <c r="M562">
        <v>26</v>
      </c>
      <c r="N562">
        <v>1</v>
      </c>
      <c r="O562">
        <v>0</v>
      </c>
      <c r="P562">
        <v>1</v>
      </c>
      <c r="Q562" t="s">
        <v>7</v>
      </c>
    </row>
    <row r="563" spans="1:17">
      <c r="A563" t="s">
        <v>1021</v>
      </c>
      <c r="B563" s="672" t="s">
        <v>965</v>
      </c>
      <c r="C563">
        <v>0</v>
      </c>
      <c r="D563" t="s">
        <v>756</v>
      </c>
      <c r="E563" t="s">
        <v>1039</v>
      </c>
      <c r="F563" t="s">
        <v>1064</v>
      </c>
      <c r="G563" s="672" t="s">
        <v>961</v>
      </c>
      <c r="H563">
        <v>0.83899999999999997</v>
      </c>
      <c r="J563" s="1" t="s">
        <v>770</v>
      </c>
      <c r="K563">
        <v>105311935</v>
      </c>
      <c r="L563" s="2">
        <v>43058</v>
      </c>
      <c r="M563">
        <v>19</v>
      </c>
      <c r="N563">
        <v>2</v>
      </c>
      <c r="O563">
        <v>0</v>
      </c>
      <c r="P563">
        <v>1</v>
      </c>
      <c r="Q563" t="s">
        <v>7</v>
      </c>
    </row>
    <row r="564" spans="1:17">
      <c r="A564" t="s">
        <v>1021</v>
      </c>
      <c r="B564" s="672" t="s">
        <v>965</v>
      </c>
      <c r="C564">
        <v>0</v>
      </c>
      <c r="D564" t="s">
        <v>756</v>
      </c>
      <c r="E564" t="s">
        <v>1039</v>
      </c>
      <c r="F564" t="s">
        <v>1056</v>
      </c>
      <c r="G564" s="672" t="s">
        <v>961</v>
      </c>
      <c r="H564">
        <v>0.83899999999999997</v>
      </c>
      <c r="J564" s="1" t="s">
        <v>770</v>
      </c>
      <c r="K564">
        <v>105558073</v>
      </c>
      <c r="L564" s="2">
        <v>43309</v>
      </c>
      <c r="M564">
        <v>17</v>
      </c>
      <c r="N564">
        <v>1</v>
      </c>
      <c r="O564">
        <v>0</v>
      </c>
      <c r="P564">
        <v>1</v>
      </c>
      <c r="Q564" t="s">
        <v>7</v>
      </c>
    </row>
    <row r="565" spans="1:17">
      <c r="A565" t="s">
        <v>1021</v>
      </c>
      <c r="B565" s="672" t="s">
        <v>965</v>
      </c>
      <c r="C565">
        <v>0</v>
      </c>
      <c r="E565" t="s">
        <v>1039</v>
      </c>
      <c r="F565" t="s">
        <v>1056</v>
      </c>
      <c r="G565" s="672" t="s">
        <v>961</v>
      </c>
      <c r="H565">
        <v>0.83899999999999997</v>
      </c>
      <c r="J565" s="1" t="s">
        <v>770</v>
      </c>
      <c r="K565">
        <v>105864809</v>
      </c>
      <c r="L565" s="2">
        <v>43570</v>
      </c>
      <c r="M565">
        <v>30</v>
      </c>
      <c r="N565">
        <v>1</v>
      </c>
      <c r="O565">
        <v>8</v>
      </c>
      <c r="P565">
        <v>1</v>
      </c>
      <c r="Q565" t="s">
        <v>3</v>
      </c>
    </row>
    <row r="566" spans="1:17">
      <c r="A566" t="s">
        <v>1021</v>
      </c>
      <c r="B566" s="672" t="s">
        <v>965</v>
      </c>
      <c r="C566">
        <v>0</v>
      </c>
      <c r="E566" t="s">
        <v>1039</v>
      </c>
      <c r="F566" s="672" t="s">
        <v>1037</v>
      </c>
      <c r="G566" s="672" t="s">
        <v>961</v>
      </c>
      <c r="H566">
        <v>0.83899999999999997</v>
      </c>
      <c r="J566" s="1" t="s">
        <v>770</v>
      </c>
      <c r="K566">
        <v>108515575</v>
      </c>
      <c r="L566" s="2">
        <v>46165</v>
      </c>
      <c r="M566">
        <v>30</v>
      </c>
      <c r="N566">
        <v>1</v>
      </c>
      <c r="O566">
        <v>8</v>
      </c>
      <c r="P566">
        <v>1</v>
      </c>
      <c r="Q566" t="s">
        <v>8</v>
      </c>
    </row>
    <row r="567" spans="1:17">
      <c r="A567" t="s">
        <v>1021</v>
      </c>
      <c r="B567" s="672" t="s">
        <v>965</v>
      </c>
      <c r="C567">
        <v>0.03</v>
      </c>
      <c r="D567" t="s">
        <v>756</v>
      </c>
      <c r="E567" t="s">
        <v>1039</v>
      </c>
      <c r="F567" t="s">
        <v>1056</v>
      </c>
      <c r="G567" s="672" t="s">
        <v>961</v>
      </c>
      <c r="H567">
        <v>0.86899999999999999</v>
      </c>
      <c r="J567" s="1" t="s">
        <v>770</v>
      </c>
      <c r="K567">
        <v>106802183</v>
      </c>
      <c r="L567" s="2">
        <v>44414</v>
      </c>
      <c r="M567">
        <v>1</v>
      </c>
      <c r="N567">
        <v>1</v>
      </c>
      <c r="O567">
        <v>0</v>
      </c>
      <c r="P567">
        <v>5</v>
      </c>
      <c r="Q567" t="s">
        <v>8</v>
      </c>
    </row>
    <row r="568" spans="1:17">
      <c r="A568" t="s">
        <v>1021</v>
      </c>
      <c r="B568" s="672" t="s">
        <v>965</v>
      </c>
      <c r="C568">
        <v>3.7999999999999999E-2</v>
      </c>
      <c r="D568" t="s">
        <v>756</v>
      </c>
      <c r="E568" t="s">
        <v>1039</v>
      </c>
      <c r="F568" t="s">
        <v>1038</v>
      </c>
      <c r="G568" s="672" t="s">
        <v>961</v>
      </c>
      <c r="H568">
        <v>0.877</v>
      </c>
      <c r="J568" s="1" t="s">
        <v>770</v>
      </c>
      <c r="K568">
        <v>108044942</v>
      </c>
      <c r="L568" s="2">
        <v>45727</v>
      </c>
      <c r="M568">
        <v>21</v>
      </c>
      <c r="N568">
        <v>1</v>
      </c>
      <c r="O568">
        <v>0</v>
      </c>
      <c r="P568">
        <v>1</v>
      </c>
      <c r="Q568" t="s">
        <v>7</v>
      </c>
    </row>
    <row r="569" spans="1:17">
      <c r="A569" t="s">
        <v>1021</v>
      </c>
      <c r="B569" s="672" t="s">
        <v>965</v>
      </c>
      <c r="C569">
        <v>5.7000000000000002E-2</v>
      </c>
      <c r="D569" t="s">
        <v>756</v>
      </c>
      <c r="E569" t="s">
        <v>1039</v>
      </c>
      <c r="F569" t="s">
        <v>1056</v>
      </c>
      <c r="G569" s="672" t="s">
        <v>961</v>
      </c>
      <c r="H569">
        <v>0.89600000000000002</v>
      </c>
      <c r="J569" s="1" t="s">
        <v>770</v>
      </c>
      <c r="K569">
        <v>107518891</v>
      </c>
      <c r="L569" s="2">
        <v>45237</v>
      </c>
      <c r="M569">
        <v>17</v>
      </c>
      <c r="N569">
        <v>1</v>
      </c>
      <c r="O569">
        <v>0</v>
      </c>
      <c r="P569">
        <v>5</v>
      </c>
      <c r="Q569" t="s">
        <v>7</v>
      </c>
    </row>
    <row r="570" spans="1:17">
      <c r="A570" t="s">
        <v>1021</v>
      </c>
      <c r="B570" s="672" t="s">
        <v>965</v>
      </c>
      <c r="C570">
        <v>0.14599999999999999</v>
      </c>
      <c r="D570" t="s">
        <v>762</v>
      </c>
      <c r="E570" t="s">
        <v>1039</v>
      </c>
      <c r="F570" t="s">
        <v>1038</v>
      </c>
      <c r="G570" s="672" t="s">
        <v>961</v>
      </c>
      <c r="H570">
        <v>0.98499999999999999</v>
      </c>
      <c r="J570" s="1" t="s">
        <v>770</v>
      </c>
      <c r="K570">
        <v>108332228</v>
      </c>
      <c r="L570" s="2">
        <v>46000</v>
      </c>
      <c r="M570">
        <v>21</v>
      </c>
      <c r="N570">
        <v>1</v>
      </c>
      <c r="O570">
        <v>0</v>
      </c>
      <c r="P570">
        <v>1</v>
      </c>
      <c r="Q570" t="s">
        <v>7</v>
      </c>
    </row>
    <row r="571" spans="1:17">
      <c r="A571" t="s">
        <v>1021</v>
      </c>
      <c r="B571" s="672" t="s">
        <v>965</v>
      </c>
      <c r="C571">
        <v>0.2</v>
      </c>
      <c r="D571" t="s">
        <v>756</v>
      </c>
      <c r="E571" t="s">
        <v>1039</v>
      </c>
      <c r="F571" t="s">
        <v>1094</v>
      </c>
      <c r="G571" s="672" t="s">
        <v>961</v>
      </c>
      <c r="H571">
        <v>1.0389999999999999</v>
      </c>
      <c r="J571" s="1" t="s">
        <v>770</v>
      </c>
      <c r="K571">
        <v>105589786</v>
      </c>
      <c r="L571" s="2">
        <v>43329</v>
      </c>
      <c r="M571">
        <v>17</v>
      </c>
      <c r="N571">
        <v>1</v>
      </c>
      <c r="O571">
        <v>0</v>
      </c>
      <c r="P571">
        <v>1</v>
      </c>
      <c r="Q571" t="s">
        <v>7</v>
      </c>
    </row>
    <row r="572" spans="1:17">
      <c r="A572" t="s">
        <v>1021</v>
      </c>
      <c r="B572" s="672" t="s">
        <v>965</v>
      </c>
      <c r="C572">
        <v>0.2</v>
      </c>
      <c r="D572" t="s">
        <v>758</v>
      </c>
      <c r="E572" t="s">
        <v>1056</v>
      </c>
      <c r="F572" s="675" t="s">
        <v>1023</v>
      </c>
      <c r="G572" s="672" t="s">
        <v>961</v>
      </c>
      <c r="H572">
        <v>1.077</v>
      </c>
      <c r="J572" s="1" t="s">
        <v>770</v>
      </c>
      <c r="K572">
        <v>107063379</v>
      </c>
      <c r="L572" s="2">
        <v>44803</v>
      </c>
      <c r="M572">
        <v>17</v>
      </c>
      <c r="N572">
        <v>1</v>
      </c>
      <c r="O572">
        <v>0</v>
      </c>
      <c r="P572">
        <v>1</v>
      </c>
      <c r="Q572" t="s">
        <v>7</v>
      </c>
    </row>
    <row r="573" spans="1:17">
      <c r="A573" t="s">
        <v>1021</v>
      </c>
      <c r="B573" s="672" t="s">
        <v>965</v>
      </c>
      <c r="C573">
        <v>0.2</v>
      </c>
      <c r="D573" t="s">
        <v>758</v>
      </c>
      <c r="E573" t="s">
        <v>1056</v>
      </c>
      <c r="F573" s="675" t="s">
        <v>1023</v>
      </c>
      <c r="G573" s="672" t="s">
        <v>961</v>
      </c>
      <c r="H573">
        <v>1.077</v>
      </c>
      <c r="J573" s="1" t="s">
        <v>770</v>
      </c>
      <c r="K573">
        <v>107173186</v>
      </c>
      <c r="L573" s="2">
        <v>44763</v>
      </c>
      <c r="M573">
        <v>21</v>
      </c>
      <c r="N573">
        <v>1</v>
      </c>
      <c r="O573">
        <v>12</v>
      </c>
      <c r="P573">
        <v>1</v>
      </c>
      <c r="Q573" t="s">
        <v>3</v>
      </c>
    </row>
    <row r="574" spans="1:17">
      <c r="A574" t="s">
        <v>1021</v>
      </c>
      <c r="B574" s="672" t="s">
        <v>965</v>
      </c>
      <c r="C574">
        <v>0.1</v>
      </c>
      <c r="D574" t="s">
        <v>758</v>
      </c>
      <c r="E574" t="s">
        <v>1056</v>
      </c>
      <c r="F574" t="s">
        <v>1101</v>
      </c>
      <c r="G574" s="672" t="s">
        <v>961</v>
      </c>
      <c r="H574">
        <v>1.177</v>
      </c>
      <c r="J574" s="1" t="s">
        <v>770</v>
      </c>
      <c r="K574">
        <v>105733632</v>
      </c>
      <c r="L574" s="2">
        <v>43442</v>
      </c>
      <c r="M574">
        <v>17</v>
      </c>
      <c r="N574">
        <v>2</v>
      </c>
      <c r="O574">
        <v>0</v>
      </c>
      <c r="P574">
        <v>5</v>
      </c>
      <c r="Q574" t="s">
        <v>7</v>
      </c>
    </row>
    <row r="575" spans="1:17">
      <c r="A575" t="s">
        <v>1021</v>
      </c>
      <c r="B575" s="672" t="s">
        <v>965</v>
      </c>
      <c r="C575">
        <v>0.1</v>
      </c>
      <c r="D575" t="s">
        <v>758</v>
      </c>
      <c r="E575" t="s">
        <v>1056</v>
      </c>
      <c r="F575" s="675" t="s">
        <v>1023</v>
      </c>
      <c r="G575" s="672" t="s">
        <v>961</v>
      </c>
      <c r="H575">
        <v>1.177</v>
      </c>
      <c r="J575" s="1" t="s">
        <v>770</v>
      </c>
      <c r="K575">
        <v>105233220</v>
      </c>
      <c r="L575" s="2">
        <v>42984</v>
      </c>
      <c r="M575">
        <v>25</v>
      </c>
      <c r="N575">
        <v>1</v>
      </c>
      <c r="O575">
        <v>0</v>
      </c>
      <c r="P575">
        <v>1</v>
      </c>
      <c r="Q575" t="s">
        <v>7</v>
      </c>
    </row>
    <row r="576" spans="1:17">
      <c r="A576" t="s">
        <v>1021</v>
      </c>
      <c r="B576" s="672" t="s">
        <v>965</v>
      </c>
      <c r="C576">
        <v>0.1</v>
      </c>
      <c r="D576" t="s">
        <v>758</v>
      </c>
      <c r="E576" t="s">
        <v>1056</v>
      </c>
      <c r="F576" t="s">
        <v>1039</v>
      </c>
      <c r="G576" s="672" t="s">
        <v>961</v>
      </c>
      <c r="H576">
        <v>1.177</v>
      </c>
      <c r="J576" s="1" t="s">
        <v>770</v>
      </c>
      <c r="K576">
        <v>105950191</v>
      </c>
      <c r="L576" s="2">
        <v>43671</v>
      </c>
      <c r="M576">
        <v>17</v>
      </c>
      <c r="N576">
        <v>1</v>
      </c>
      <c r="O576">
        <v>0</v>
      </c>
      <c r="P576">
        <v>1</v>
      </c>
      <c r="Q576" t="s">
        <v>7</v>
      </c>
    </row>
    <row r="577" spans="1:17">
      <c r="A577" t="s">
        <v>1021</v>
      </c>
      <c r="B577" s="672" t="s">
        <v>965</v>
      </c>
      <c r="C577">
        <v>8.5000000000000006E-2</v>
      </c>
      <c r="D577" t="s">
        <v>758</v>
      </c>
      <c r="E577" t="s">
        <v>1056</v>
      </c>
      <c r="F577" t="s">
        <v>1039</v>
      </c>
      <c r="G577" s="672" t="s">
        <v>961</v>
      </c>
      <c r="H577">
        <v>1.1919999999999999</v>
      </c>
      <c r="J577" s="1" t="s">
        <v>770</v>
      </c>
      <c r="K577">
        <v>108266389</v>
      </c>
      <c r="L577" s="2">
        <v>45946</v>
      </c>
      <c r="M577">
        <v>21</v>
      </c>
      <c r="N577">
        <v>1</v>
      </c>
      <c r="O577">
        <v>0</v>
      </c>
      <c r="P577">
        <v>1</v>
      </c>
      <c r="Q577" t="s">
        <v>7</v>
      </c>
    </row>
    <row r="578" spans="1:17">
      <c r="A578" t="s">
        <v>1021</v>
      </c>
      <c r="B578" s="672" t="s">
        <v>965</v>
      </c>
      <c r="C578">
        <v>5.7000000000000002E-2</v>
      </c>
      <c r="D578" t="s">
        <v>765</v>
      </c>
      <c r="E578" t="s">
        <v>1056</v>
      </c>
      <c r="F578" t="s">
        <v>1039</v>
      </c>
      <c r="G578" s="672" t="s">
        <v>961</v>
      </c>
      <c r="H578">
        <v>1.22</v>
      </c>
      <c r="J578" s="1" t="s">
        <v>770</v>
      </c>
      <c r="K578">
        <v>107333434</v>
      </c>
      <c r="L578" s="2">
        <v>45058</v>
      </c>
      <c r="M578">
        <v>28</v>
      </c>
      <c r="N578">
        <v>1</v>
      </c>
      <c r="O578">
        <v>0</v>
      </c>
      <c r="P578">
        <v>1</v>
      </c>
      <c r="Q578" t="s">
        <v>7</v>
      </c>
    </row>
    <row r="579" spans="1:17">
      <c r="A579" t="s">
        <v>1021</v>
      </c>
      <c r="B579" s="672" t="s">
        <v>965</v>
      </c>
      <c r="C579">
        <v>3.2000000000000001E-2</v>
      </c>
      <c r="D579" t="s">
        <v>765</v>
      </c>
      <c r="E579" t="s">
        <v>1056</v>
      </c>
      <c r="F579" t="s">
        <v>1038</v>
      </c>
      <c r="G579" s="672" t="s">
        <v>961</v>
      </c>
      <c r="H579">
        <v>1.2450000000000001</v>
      </c>
      <c r="J579" s="1" t="s">
        <v>770</v>
      </c>
      <c r="K579">
        <v>107913535</v>
      </c>
      <c r="L579" s="2">
        <v>45603</v>
      </c>
      <c r="M579">
        <v>21</v>
      </c>
      <c r="N579">
        <v>1</v>
      </c>
      <c r="O579">
        <v>0</v>
      </c>
      <c r="P579">
        <v>1</v>
      </c>
      <c r="Q579" t="s">
        <v>3</v>
      </c>
    </row>
    <row r="580" spans="1:17">
      <c r="A580" t="s">
        <v>1021</v>
      </c>
      <c r="B580" s="672" t="s">
        <v>965</v>
      </c>
      <c r="C580">
        <v>2.4E-2</v>
      </c>
      <c r="D580" t="s">
        <v>758</v>
      </c>
      <c r="E580" t="s">
        <v>1056</v>
      </c>
      <c r="F580" s="675" t="s">
        <v>1023</v>
      </c>
      <c r="G580" s="672" t="s">
        <v>961</v>
      </c>
      <c r="H580">
        <v>1.2529999999999999</v>
      </c>
      <c r="J580" s="1" t="s">
        <v>770</v>
      </c>
      <c r="K580">
        <v>106187495</v>
      </c>
      <c r="L580" s="2">
        <v>43846</v>
      </c>
      <c r="M580">
        <v>21</v>
      </c>
      <c r="N580">
        <v>1</v>
      </c>
      <c r="O580">
        <v>0</v>
      </c>
      <c r="P580">
        <v>1</v>
      </c>
      <c r="Q580" t="s">
        <v>3</v>
      </c>
    </row>
    <row r="581" spans="1:17">
      <c r="A581" t="s">
        <v>1021</v>
      </c>
      <c r="B581" s="672" t="s">
        <v>965</v>
      </c>
      <c r="C581">
        <v>1.9E-2</v>
      </c>
      <c r="D581" t="s">
        <v>758</v>
      </c>
      <c r="E581" t="s">
        <v>1056</v>
      </c>
      <c r="F581" s="675" t="s">
        <v>1023</v>
      </c>
      <c r="G581" s="672" t="s">
        <v>961</v>
      </c>
      <c r="H581">
        <v>1.258</v>
      </c>
      <c r="J581" s="1" t="s">
        <v>770</v>
      </c>
      <c r="K581">
        <v>107502331</v>
      </c>
      <c r="L581" s="2">
        <v>45224</v>
      </c>
      <c r="M581">
        <v>17</v>
      </c>
      <c r="N581">
        <v>1</v>
      </c>
      <c r="O581">
        <v>0</v>
      </c>
      <c r="P581">
        <v>1</v>
      </c>
      <c r="Q581" t="s">
        <v>7</v>
      </c>
    </row>
    <row r="582" spans="1:17">
      <c r="A582" t="s">
        <v>1021</v>
      </c>
      <c r="B582" s="672" t="s">
        <v>965</v>
      </c>
      <c r="C582">
        <v>0</v>
      </c>
      <c r="E582" t="s">
        <v>1056</v>
      </c>
      <c r="F582" t="s">
        <v>1064</v>
      </c>
      <c r="G582" s="672" t="s">
        <v>961</v>
      </c>
      <c r="H582">
        <v>1.2769999999999999</v>
      </c>
      <c r="J582" s="1" t="s">
        <v>770</v>
      </c>
      <c r="K582">
        <v>108383969</v>
      </c>
      <c r="L582" s="2">
        <v>46049</v>
      </c>
      <c r="M582">
        <v>21</v>
      </c>
      <c r="N582">
        <v>1</v>
      </c>
      <c r="O582">
        <v>8</v>
      </c>
      <c r="P582">
        <v>1</v>
      </c>
      <c r="Q582" t="s">
        <v>7</v>
      </c>
    </row>
    <row r="583" spans="1:17">
      <c r="A583" t="s">
        <v>1021</v>
      </c>
      <c r="B583" s="672" t="s">
        <v>965</v>
      </c>
      <c r="C583">
        <v>0</v>
      </c>
      <c r="E583" t="s">
        <v>1056</v>
      </c>
      <c r="F583" t="s">
        <v>1064</v>
      </c>
      <c r="G583" s="672" t="s">
        <v>961</v>
      </c>
      <c r="H583">
        <v>1.2769999999999999</v>
      </c>
      <c r="J583" s="1" t="s">
        <v>770</v>
      </c>
      <c r="K583">
        <v>107966811</v>
      </c>
      <c r="L583" s="2">
        <v>45648</v>
      </c>
      <c r="M583">
        <v>30</v>
      </c>
      <c r="N583">
        <v>1</v>
      </c>
      <c r="O583">
        <v>12</v>
      </c>
      <c r="P583">
        <v>1</v>
      </c>
      <c r="Q583" t="s">
        <v>7</v>
      </c>
    </row>
    <row r="584" spans="1:17">
      <c r="A584" t="s">
        <v>1021</v>
      </c>
      <c r="B584" s="672" t="s">
        <v>965</v>
      </c>
      <c r="C584">
        <v>2E-3</v>
      </c>
      <c r="D584" t="s">
        <v>756</v>
      </c>
      <c r="E584" t="s">
        <v>1056</v>
      </c>
      <c r="F584" t="s">
        <v>1064</v>
      </c>
      <c r="G584" s="672" t="s">
        <v>961</v>
      </c>
      <c r="H584">
        <v>1.2789999999999999</v>
      </c>
      <c r="J584" s="1" t="s">
        <v>770</v>
      </c>
      <c r="K584">
        <v>107204125</v>
      </c>
      <c r="L584" s="2">
        <v>44932</v>
      </c>
      <c r="M584">
        <v>21</v>
      </c>
      <c r="N584">
        <v>1</v>
      </c>
      <c r="O584">
        <v>0</v>
      </c>
      <c r="P584">
        <v>1</v>
      </c>
      <c r="Q584" t="s">
        <v>7</v>
      </c>
    </row>
    <row r="585" spans="1:17">
      <c r="A585" t="s">
        <v>1021</v>
      </c>
      <c r="B585" s="672" t="s">
        <v>965</v>
      </c>
      <c r="C585">
        <v>1.9E-2</v>
      </c>
      <c r="D585" t="s">
        <v>756</v>
      </c>
      <c r="E585" t="s">
        <v>1056</v>
      </c>
      <c r="F585" t="s">
        <v>1064</v>
      </c>
      <c r="G585" s="672" t="s">
        <v>961</v>
      </c>
      <c r="H585">
        <v>1.296</v>
      </c>
      <c r="J585" s="1" t="s">
        <v>770</v>
      </c>
      <c r="K585">
        <v>107173196</v>
      </c>
      <c r="L585" s="2">
        <v>44376</v>
      </c>
      <c r="M585">
        <v>21</v>
      </c>
      <c r="N585">
        <v>1</v>
      </c>
      <c r="O585">
        <v>0</v>
      </c>
      <c r="P585">
        <v>1</v>
      </c>
      <c r="Q585" t="s">
        <v>7</v>
      </c>
    </row>
    <row r="586" spans="1:17">
      <c r="A586" t="s">
        <v>1021</v>
      </c>
      <c r="B586" s="672" t="s">
        <v>965</v>
      </c>
      <c r="C586">
        <v>1.9E-2</v>
      </c>
      <c r="D586" t="s">
        <v>762</v>
      </c>
      <c r="E586" t="s">
        <v>1056</v>
      </c>
      <c r="F586" t="s">
        <v>1064</v>
      </c>
      <c r="G586" s="672" t="s">
        <v>961</v>
      </c>
      <c r="H586">
        <v>1.296</v>
      </c>
      <c r="J586" s="1" t="s">
        <v>770</v>
      </c>
      <c r="K586">
        <v>108305050</v>
      </c>
      <c r="L586" s="2">
        <v>45974</v>
      </c>
      <c r="M586">
        <v>21</v>
      </c>
      <c r="N586">
        <v>1</v>
      </c>
      <c r="O586">
        <v>0</v>
      </c>
      <c r="P586">
        <v>1</v>
      </c>
      <c r="Q586" t="s">
        <v>7</v>
      </c>
    </row>
    <row r="587" spans="1:17">
      <c r="A587" t="s">
        <v>1021</v>
      </c>
      <c r="B587" s="672" t="s">
        <v>965</v>
      </c>
      <c r="C587">
        <v>3.1E-2</v>
      </c>
      <c r="D587" t="s">
        <v>756</v>
      </c>
      <c r="E587" t="s">
        <v>1056</v>
      </c>
      <c r="F587" t="s">
        <v>1064</v>
      </c>
      <c r="G587" s="672" t="s">
        <v>961</v>
      </c>
      <c r="H587">
        <v>1.3080000000000001</v>
      </c>
      <c r="J587" s="1" t="s">
        <v>770</v>
      </c>
      <c r="K587">
        <v>105168896</v>
      </c>
      <c r="L587" s="2">
        <v>42930</v>
      </c>
      <c r="M587">
        <v>21</v>
      </c>
      <c r="N587">
        <v>1</v>
      </c>
      <c r="O587">
        <v>0</v>
      </c>
      <c r="P587">
        <v>1</v>
      </c>
      <c r="Q587" t="s">
        <v>3</v>
      </c>
    </row>
    <row r="588" spans="1:17">
      <c r="A588" t="s">
        <v>1021</v>
      </c>
      <c r="B588" s="672" t="s">
        <v>965</v>
      </c>
      <c r="C588">
        <v>0.1</v>
      </c>
      <c r="D588" t="s">
        <v>758</v>
      </c>
      <c r="E588" t="s">
        <v>1052</v>
      </c>
      <c r="F588" t="s">
        <v>1064</v>
      </c>
      <c r="G588" s="672" t="s">
        <v>961</v>
      </c>
      <c r="H588">
        <v>1.331</v>
      </c>
      <c r="J588" s="1" t="s">
        <v>770</v>
      </c>
      <c r="K588">
        <v>105881708</v>
      </c>
      <c r="L588" s="2">
        <v>43585</v>
      </c>
      <c r="M588">
        <v>21</v>
      </c>
      <c r="N588">
        <v>1</v>
      </c>
      <c r="P588">
        <v>1</v>
      </c>
      <c r="Q588" t="s">
        <v>7</v>
      </c>
    </row>
    <row r="589" spans="1:17">
      <c r="A589" t="s">
        <v>1021</v>
      </c>
      <c r="B589" s="672" t="s">
        <v>965</v>
      </c>
      <c r="C589">
        <v>8.5000000000000006E-2</v>
      </c>
      <c r="D589" t="s">
        <v>758</v>
      </c>
      <c r="E589" t="s">
        <v>1052</v>
      </c>
      <c r="F589" t="s">
        <v>1064</v>
      </c>
      <c r="G589" s="672" t="s">
        <v>961</v>
      </c>
      <c r="H589">
        <v>1.3460000000000001</v>
      </c>
      <c r="J589" s="1" t="s">
        <v>770</v>
      </c>
      <c r="K589">
        <v>106802074</v>
      </c>
      <c r="L589" s="2">
        <v>44364</v>
      </c>
      <c r="M589">
        <v>28</v>
      </c>
      <c r="N589">
        <v>1</v>
      </c>
      <c r="O589">
        <v>0</v>
      </c>
      <c r="P589">
        <v>1</v>
      </c>
      <c r="Q589" t="s">
        <v>7</v>
      </c>
    </row>
    <row r="590" spans="1:17">
      <c r="A590" t="s">
        <v>1021</v>
      </c>
      <c r="B590" s="672" t="s">
        <v>965</v>
      </c>
      <c r="C590">
        <v>8.7999999999999995E-2</v>
      </c>
      <c r="D590" t="s">
        <v>762</v>
      </c>
      <c r="E590" t="s">
        <v>1056</v>
      </c>
      <c r="F590" t="s">
        <v>1052</v>
      </c>
      <c r="G590" s="672" t="s">
        <v>961</v>
      </c>
      <c r="H590">
        <v>1.365</v>
      </c>
      <c r="J590" s="1" t="s">
        <v>770</v>
      </c>
      <c r="K590">
        <v>108194580</v>
      </c>
      <c r="L590" s="2">
        <v>45876</v>
      </c>
      <c r="M590">
        <v>21</v>
      </c>
      <c r="N590">
        <v>2</v>
      </c>
      <c r="O590">
        <v>7</v>
      </c>
      <c r="P590">
        <v>1</v>
      </c>
      <c r="Q590" t="s">
        <v>7</v>
      </c>
    </row>
    <row r="591" spans="1:17">
      <c r="A591" t="s">
        <v>1021</v>
      </c>
      <c r="B591" s="672" t="s">
        <v>965</v>
      </c>
      <c r="C591">
        <v>3.7999999999999999E-2</v>
      </c>
      <c r="D591" t="s">
        <v>758</v>
      </c>
      <c r="E591" t="s">
        <v>1064</v>
      </c>
      <c r="F591" t="s">
        <v>1056</v>
      </c>
      <c r="G591" s="672" t="s">
        <v>961</v>
      </c>
      <c r="H591">
        <v>1.367</v>
      </c>
      <c r="J591" s="1" t="s">
        <v>770</v>
      </c>
      <c r="K591">
        <v>106802433</v>
      </c>
      <c r="L591" s="2">
        <v>44534</v>
      </c>
      <c r="M591">
        <v>21</v>
      </c>
      <c r="N591">
        <v>1</v>
      </c>
      <c r="O591">
        <v>12</v>
      </c>
      <c r="P591">
        <v>1</v>
      </c>
      <c r="Q591" t="s">
        <v>7</v>
      </c>
    </row>
    <row r="592" spans="1:17">
      <c r="A592" t="s">
        <v>1021</v>
      </c>
      <c r="B592" s="672" t="s">
        <v>965</v>
      </c>
      <c r="C592">
        <v>2.1999999999999999E-2</v>
      </c>
      <c r="D592" t="s">
        <v>765</v>
      </c>
      <c r="E592" t="s">
        <v>1064</v>
      </c>
      <c r="F592" t="s">
        <v>1056</v>
      </c>
      <c r="G592" s="672" t="s">
        <v>961</v>
      </c>
      <c r="H592">
        <v>1.383</v>
      </c>
      <c r="J592" s="1" t="s">
        <v>770</v>
      </c>
      <c r="K592">
        <v>108566575</v>
      </c>
      <c r="L592" s="2">
        <v>46225</v>
      </c>
      <c r="M592">
        <v>28</v>
      </c>
      <c r="N592">
        <v>1</v>
      </c>
      <c r="O592">
        <v>0</v>
      </c>
      <c r="P592">
        <v>1</v>
      </c>
      <c r="Q592" t="s">
        <v>7</v>
      </c>
    </row>
    <row r="593" spans="1:22">
      <c r="A593" t="s">
        <v>1021</v>
      </c>
      <c r="B593" s="672" t="s">
        <v>965</v>
      </c>
      <c r="C593">
        <v>8.9999999999999993E-3</v>
      </c>
      <c r="D593" t="s">
        <v>758</v>
      </c>
      <c r="E593" t="s">
        <v>1064</v>
      </c>
      <c r="F593" t="s">
        <v>1056</v>
      </c>
      <c r="G593" s="672" t="s">
        <v>961</v>
      </c>
      <c r="H593">
        <v>1.3959999999999999</v>
      </c>
      <c r="J593" s="1" t="s">
        <v>770</v>
      </c>
      <c r="K593">
        <v>106802187</v>
      </c>
      <c r="L593" s="2">
        <v>44418</v>
      </c>
      <c r="M593">
        <v>1</v>
      </c>
      <c r="N593">
        <v>3</v>
      </c>
      <c r="O593">
        <v>0</v>
      </c>
      <c r="P593">
        <v>1</v>
      </c>
      <c r="Q593" t="s">
        <v>7</v>
      </c>
    </row>
    <row r="594" spans="1:22">
      <c r="A594" t="s">
        <v>1021</v>
      </c>
      <c r="B594" s="672" t="s">
        <v>965</v>
      </c>
      <c r="C594">
        <v>5.0000000000000001E-3</v>
      </c>
      <c r="D594" t="s">
        <v>758</v>
      </c>
      <c r="E594" t="s">
        <v>1064</v>
      </c>
      <c r="F594" t="s">
        <v>1056</v>
      </c>
      <c r="G594" s="672" t="s">
        <v>961</v>
      </c>
      <c r="H594">
        <v>1.4</v>
      </c>
      <c r="J594" s="1" t="s">
        <v>770</v>
      </c>
      <c r="K594">
        <v>105532240</v>
      </c>
      <c r="L594" s="2">
        <v>43270</v>
      </c>
      <c r="M594">
        <v>19</v>
      </c>
      <c r="N594">
        <v>1</v>
      </c>
      <c r="O594">
        <v>0</v>
      </c>
      <c r="P594">
        <v>1</v>
      </c>
      <c r="Q594" t="s">
        <v>8</v>
      </c>
    </row>
    <row r="595" spans="1:22">
      <c r="A595" t="s">
        <v>1021</v>
      </c>
      <c r="B595" s="672" t="s">
        <v>965</v>
      </c>
      <c r="C595">
        <v>4.0000000000000001E-3</v>
      </c>
      <c r="D595" t="s">
        <v>758</v>
      </c>
      <c r="E595" t="s">
        <v>1064</v>
      </c>
      <c r="F595" t="s">
        <v>1056</v>
      </c>
      <c r="G595" s="672" t="s">
        <v>961</v>
      </c>
      <c r="H595">
        <v>1.401</v>
      </c>
      <c r="J595" s="1" t="s">
        <v>770</v>
      </c>
      <c r="K595">
        <v>106337857</v>
      </c>
      <c r="L595" s="2">
        <v>44045</v>
      </c>
      <c r="M595">
        <v>21</v>
      </c>
      <c r="N595">
        <v>1</v>
      </c>
      <c r="O595">
        <v>7</v>
      </c>
      <c r="P595">
        <v>4</v>
      </c>
      <c r="Q595" t="s">
        <v>3</v>
      </c>
    </row>
    <row r="596" spans="1:22">
      <c r="A596" t="s">
        <v>1021</v>
      </c>
      <c r="B596" s="672" t="s">
        <v>965</v>
      </c>
      <c r="C596">
        <v>0</v>
      </c>
      <c r="E596" t="s">
        <v>1064</v>
      </c>
      <c r="F596" t="s">
        <v>1056</v>
      </c>
      <c r="G596" s="672" t="s">
        <v>961</v>
      </c>
      <c r="H596">
        <v>1.405</v>
      </c>
      <c r="J596" s="1" t="s">
        <v>770</v>
      </c>
      <c r="K596">
        <v>105612308</v>
      </c>
      <c r="L596" s="2">
        <v>43347</v>
      </c>
      <c r="M596">
        <v>21</v>
      </c>
      <c r="N596">
        <v>1</v>
      </c>
      <c r="O596">
        <v>7</v>
      </c>
      <c r="P596">
        <v>1</v>
      </c>
      <c r="Q596" t="s">
        <v>3</v>
      </c>
    </row>
    <row r="597" spans="1:22">
      <c r="A597" t="s">
        <v>1021</v>
      </c>
      <c r="B597" s="672" t="s">
        <v>965</v>
      </c>
      <c r="C597">
        <v>0</v>
      </c>
      <c r="E597" t="s">
        <v>1064</v>
      </c>
      <c r="F597" t="s">
        <v>1056</v>
      </c>
      <c r="G597" s="672" t="s">
        <v>961</v>
      </c>
      <c r="H597">
        <v>1.405</v>
      </c>
      <c r="J597" s="1" t="s">
        <v>770</v>
      </c>
      <c r="K597">
        <v>106307647</v>
      </c>
      <c r="L597" s="2">
        <v>44008</v>
      </c>
      <c r="M597">
        <v>21</v>
      </c>
      <c r="N597">
        <v>1</v>
      </c>
      <c r="O597">
        <v>0</v>
      </c>
      <c r="P597">
        <v>1</v>
      </c>
      <c r="Q597" t="s">
        <v>3</v>
      </c>
    </row>
    <row r="598" spans="1:22">
      <c r="A598" t="s">
        <v>1021</v>
      </c>
      <c r="B598" s="672" t="s">
        <v>965</v>
      </c>
      <c r="C598">
        <v>0</v>
      </c>
      <c r="E598" t="s">
        <v>1064</v>
      </c>
      <c r="F598" t="s">
        <v>1056</v>
      </c>
      <c r="G598" s="672" t="s">
        <v>961</v>
      </c>
      <c r="H598">
        <v>1.405</v>
      </c>
      <c r="J598" s="1" t="s">
        <v>770</v>
      </c>
      <c r="K598">
        <v>106000047</v>
      </c>
      <c r="L598" s="2">
        <v>43715</v>
      </c>
      <c r="M598">
        <v>30</v>
      </c>
      <c r="N598">
        <v>1</v>
      </c>
      <c r="O598">
        <v>7</v>
      </c>
      <c r="P598">
        <v>4</v>
      </c>
      <c r="Q598" t="s">
        <v>3</v>
      </c>
    </row>
    <row r="599" spans="1:22">
      <c r="A599" t="s">
        <v>1021</v>
      </c>
      <c r="B599" s="672" t="s">
        <v>965</v>
      </c>
      <c r="C599">
        <v>0</v>
      </c>
      <c r="E599" t="s">
        <v>1064</v>
      </c>
      <c r="F599" t="s">
        <v>1052</v>
      </c>
      <c r="G599" s="672" t="s">
        <v>961</v>
      </c>
      <c r="H599">
        <v>1.405</v>
      </c>
      <c r="J599" s="1" t="s">
        <v>770</v>
      </c>
      <c r="K599">
        <v>106225085</v>
      </c>
      <c r="L599" s="2">
        <v>43944</v>
      </c>
      <c r="M599">
        <v>21</v>
      </c>
      <c r="N599">
        <v>1</v>
      </c>
      <c r="O599">
        <v>7</v>
      </c>
      <c r="P599">
        <v>1</v>
      </c>
      <c r="Q599" t="s">
        <v>7</v>
      </c>
    </row>
    <row r="600" spans="1:22">
      <c r="A600" t="s">
        <v>1021</v>
      </c>
      <c r="B600" s="672" t="s">
        <v>965</v>
      </c>
      <c r="C600">
        <v>0</v>
      </c>
      <c r="E600" t="s">
        <v>1064</v>
      </c>
      <c r="F600" t="s">
        <v>1052</v>
      </c>
      <c r="G600" s="672" t="s">
        <v>961</v>
      </c>
      <c r="H600">
        <v>1.405</v>
      </c>
      <c r="J600" s="1" t="s">
        <v>770</v>
      </c>
      <c r="K600">
        <v>105669459</v>
      </c>
      <c r="L600" s="2">
        <v>43391</v>
      </c>
      <c r="M600">
        <v>23</v>
      </c>
      <c r="N600">
        <v>1</v>
      </c>
      <c r="O600">
        <v>7</v>
      </c>
      <c r="P600">
        <v>1</v>
      </c>
      <c r="Q600" t="s">
        <v>8</v>
      </c>
    </row>
    <row r="601" spans="1:22">
      <c r="A601" t="s">
        <v>1021</v>
      </c>
      <c r="B601" s="672" t="s">
        <v>965</v>
      </c>
      <c r="C601">
        <v>0</v>
      </c>
      <c r="E601" t="s">
        <v>1064</v>
      </c>
      <c r="F601" t="s">
        <v>1052</v>
      </c>
      <c r="G601" s="672" t="s">
        <v>961</v>
      </c>
      <c r="H601">
        <v>1.405</v>
      </c>
      <c r="J601" s="1" t="s">
        <v>770</v>
      </c>
      <c r="K601">
        <v>105950185</v>
      </c>
      <c r="L601" s="2">
        <v>43668</v>
      </c>
      <c r="M601">
        <v>30</v>
      </c>
      <c r="N601">
        <v>1</v>
      </c>
      <c r="O601">
        <v>7</v>
      </c>
      <c r="P601">
        <v>1</v>
      </c>
      <c r="Q601" t="s">
        <v>8</v>
      </c>
    </row>
    <row r="602" spans="1:22">
      <c r="A602" t="s">
        <v>1021</v>
      </c>
      <c r="B602" s="672" t="s">
        <v>965</v>
      </c>
      <c r="C602">
        <v>1.0999999999999999E-2</v>
      </c>
      <c r="D602" t="s">
        <v>758</v>
      </c>
      <c r="E602" t="s">
        <v>1052</v>
      </c>
      <c r="F602" t="s">
        <v>1064</v>
      </c>
      <c r="G602" s="672" t="s">
        <v>961</v>
      </c>
      <c r="H602">
        <v>1.42</v>
      </c>
      <c r="J602" s="1" t="s">
        <v>770</v>
      </c>
      <c r="K602">
        <v>105257908</v>
      </c>
      <c r="L602" s="2">
        <v>43020</v>
      </c>
      <c r="M602">
        <v>14</v>
      </c>
      <c r="N602">
        <v>1</v>
      </c>
      <c r="O602">
        <v>0</v>
      </c>
      <c r="P602">
        <v>1</v>
      </c>
      <c r="Q602" t="s">
        <v>3</v>
      </c>
      <c r="R602">
        <v>35.171573000000002</v>
      </c>
      <c r="S602">
        <v>-79.409191000000007</v>
      </c>
      <c r="T602" t="s">
        <v>1077</v>
      </c>
      <c r="U602" t="s">
        <v>367</v>
      </c>
      <c r="V602">
        <v>1.1543000000000001</v>
      </c>
    </row>
    <row r="603" spans="1:22">
      <c r="A603" t="s">
        <v>1021</v>
      </c>
      <c r="B603" t="s">
        <v>1052</v>
      </c>
      <c r="C603">
        <v>0</v>
      </c>
      <c r="E603" s="672" t="s">
        <v>965</v>
      </c>
      <c r="F603" t="s">
        <v>1053</v>
      </c>
      <c r="G603" s="672" t="s">
        <v>961</v>
      </c>
      <c r="H603">
        <v>1.431</v>
      </c>
      <c r="J603" s="1" t="s">
        <v>770</v>
      </c>
      <c r="K603">
        <v>108487914</v>
      </c>
      <c r="L603" s="2">
        <v>46147</v>
      </c>
      <c r="M603">
        <v>28</v>
      </c>
      <c r="N603">
        <v>1</v>
      </c>
      <c r="O603">
        <v>8</v>
      </c>
      <c r="P603">
        <v>1</v>
      </c>
      <c r="Q603" t="s">
        <v>7</v>
      </c>
    </row>
    <row r="604" spans="1:22">
      <c r="A604" t="s">
        <v>1021</v>
      </c>
      <c r="B604" s="672" t="s">
        <v>965</v>
      </c>
      <c r="C604">
        <v>0</v>
      </c>
      <c r="E604" t="s">
        <v>1052</v>
      </c>
      <c r="F604" t="s">
        <v>1064</v>
      </c>
      <c r="G604" s="672" t="s">
        <v>961</v>
      </c>
      <c r="H604">
        <v>1.431</v>
      </c>
      <c r="J604" s="1" t="s">
        <v>770</v>
      </c>
      <c r="K604">
        <v>106802412</v>
      </c>
      <c r="L604" s="2">
        <v>44524</v>
      </c>
      <c r="M604">
        <v>17</v>
      </c>
      <c r="N604">
        <v>1</v>
      </c>
      <c r="O604">
        <v>0</v>
      </c>
      <c r="P604">
        <v>4</v>
      </c>
      <c r="Q604" t="s">
        <v>7</v>
      </c>
    </row>
    <row r="605" spans="1:22">
      <c r="A605" t="s">
        <v>1021</v>
      </c>
      <c r="B605" s="672" t="s">
        <v>965</v>
      </c>
      <c r="C605">
        <v>0</v>
      </c>
      <c r="E605" t="s">
        <v>1052</v>
      </c>
      <c r="F605" t="s">
        <v>1064</v>
      </c>
      <c r="G605" s="672" t="s">
        <v>961</v>
      </c>
      <c r="H605">
        <v>1.431</v>
      </c>
      <c r="J605" s="1" t="s">
        <v>770</v>
      </c>
      <c r="K605">
        <v>106891071</v>
      </c>
      <c r="L605" s="2">
        <v>44636</v>
      </c>
      <c r="M605">
        <v>26</v>
      </c>
      <c r="N605">
        <v>2</v>
      </c>
      <c r="O605">
        <v>8</v>
      </c>
      <c r="P605">
        <v>1</v>
      </c>
      <c r="Q605" t="s">
        <v>8</v>
      </c>
    </row>
    <row r="606" spans="1:22">
      <c r="A606" t="s">
        <v>1021</v>
      </c>
      <c r="B606" s="672" t="s">
        <v>965</v>
      </c>
      <c r="C606">
        <v>0</v>
      </c>
      <c r="D606" t="s">
        <v>765</v>
      </c>
      <c r="E606" t="s">
        <v>1052</v>
      </c>
      <c r="F606" t="s">
        <v>1056</v>
      </c>
      <c r="G606" s="672" t="s">
        <v>961</v>
      </c>
      <c r="H606">
        <v>1.431</v>
      </c>
      <c r="J606" s="1" t="s">
        <v>770</v>
      </c>
      <c r="K606">
        <v>108013481</v>
      </c>
      <c r="L606" s="2">
        <v>45695</v>
      </c>
      <c r="M606">
        <v>14</v>
      </c>
      <c r="N606">
        <v>1</v>
      </c>
      <c r="O606">
        <v>8</v>
      </c>
      <c r="P606">
        <v>1</v>
      </c>
      <c r="Q606" t="s">
        <v>7</v>
      </c>
      <c r="R606">
        <v>35.171214999999997</v>
      </c>
      <c r="S606">
        <v>-79.408479999999997</v>
      </c>
      <c r="T606" t="s">
        <v>1060</v>
      </c>
      <c r="U606" t="s">
        <v>367</v>
      </c>
      <c r="V606">
        <v>1.2010000000000001</v>
      </c>
    </row>
    <row r="607" spans="1:22">
      <c r="A607" t="s">
        <v>1021</v>
      </c>
      <c r="B607" s="672" t="s">
        <v>965</v>
      </c>
      <c r="C607">
        <v>0</v>
      </c>
      <c r="E607" t="s">
        <v>1052</v>
      </c>
      <c r="F607" t="s">
        <v>1056</v>
      </c>
      <c r="G607" s="672" t="s">
        <v>961</v>
      </c>
      <c r="H607">
        <v>1.431</v>
      </c>
      <c r="J607" s="1" t="s">
        <v>770</v>
      </c>
      <c r="K607">
        <v>107321780</v>
      </c>
      <c r="L607" s="2">
        <v>45048</v>
      </c>
      <c r="M607">
        <v>30</v>
      </c>
      <c r="N607">
        <v>1</v>
      </c>
      <c r="O607">
        <v>8</v>
      </c>
      <c r="P607">
        <v>1</v>
      </c>
      <c r="Q607" t="s">
        <v>7</v>
      </c>
    </row>
    <row r="608" spans="1:22">
      <c r="A608" t="s">
        <v>1021</v>
      </c>
      <c r="B608" s="672" t="s">
        <v>965</v>
      </c>
      <c r="C608">
        <v>0</v>
      </c>
      <c r="E608" t="s">
        <v>1052</v>
      </c>
      <c r="F608" s="675" t="s">
        <v>979</v>
      </c>
      <c r="G608" s="672" t="s">
        <v>961</v>
      </c>
      <c r="H608">
        <v>1.431</v>
      </c>
      <c r="J608" s="1" t="s">
        <v>770</v>
      </c>
      <c r="K608">
        <v>106802234</v>
      </c>
      <c r="L608" s="2">
        <v>44453</v>
      </c>
      <c r="M608">
        <v>21</v>
      </c>
      <c r="N608">
        <v>1</v>
      </c>
      <c r="O608">
        <v>8</v>
      </c>
      <c r="P608">
        <v>1</v>
      </c>
      <c r="Q608" t="s">
        <v>7</v>
      </c>
    </row>
    <row r="609" spans="1:17">
      <c r="A609" t="s">
        <v>1021</v>
      </c>
      <c r="B609" s="672" t="s">
        <v>965</v>
      </c>
      <c r="C609">
        <v>1E-3</v>
      </c>
      <c r="D609" t="s">
        <v>756</v>
      </c>
      <c r="E609" t="s">
        <v>1052</v>
      </c>
      <c r="F609" t="s">
        <v>1032</v>
      </c>
      <c r="G609" s="672" t="s">
        <v>961</v>
      </c>
      <c r="H609">
        <v>1.4319999999999999</v>
      </c>
      <c r="J609" s="1" t="s">
        <v>770</v>
      </c>
      <c r="K609">
        <v>105416326</v>
      </c>
      <c r="L609" s="2">
        <v>43158</v>
      </c>
      <c r="M609">
        <v>30</v>
      </c>
      <c r="N609">
        <v>1</v>
      </c>
      <c r="O609">
        <v>8</v>
      </c>
      <c r="P609">
        <v>1</v>
      </c>
      <c r="Q609" t="s">
        <v>7</v>
      </c>
    </row>
    <row r="610" spans="1:17">
      <c r="A610" t="s">
        <v>1021</v>
      </c>
      <c r="B610" s="672" t="s">
        <v>965</v>
      </c>
      <c r="C610">
        <v>5.0000000000000001E-3</v>
      </c>
      <c r="D610" t="s">
        <v>756</v>
      </c>
      <c r="E610" t="s">
        <v>1052</v>
      </c>
      <c r="F610" s="675" t="s">
        <v>979</v>
      </c>
      <c r="G610" s="672" t="s">
        <v>961</v>
      </c>
      <c r="H610">
        <v>1.4359999999999999</v>
      </c>
      <c r="J610" s="1" t="s">
        <v>770</v>
      </c>
      <c r="K610">
        <v>105322856</v>
      </c>
      <c r="L610" s="2">
        <v>43059</v>
      </c>
      <c r="M610">
        <v>21</v>
      </c>
      <c r="N610">
        <v>1</v>
      </c>
      <c r="O610">
        <v>0</v>
      </c>
      <c r="P610">
        <v>1</v>
      </c>
      <c r="Q610" t="s">
        <v>3</v>
      </c>
    </row>
    <row r="611" spans="1:17">
      <c r="A611" t="s">
        <v>1021</v>
      </c>
      <c r="B611" s="672" t="s">
        <v>965</v>
      </c>
      <c r="C611">
        <v>8.9999999999999993E-3</v>
      </c>
      <c r="D611" t="s">
        <v>756</v>
      </c>
      <c r="E611" t="s">
        <v>1052</v>
      </c>
      <c r="F611" s="675" t="s">
        <v>979</v>
      </c>
      <c r="G611" s="672" t="s">
        <v>961</v>
      </c>
      <c r="H611">
        <v>1.44</v>
      </c>
      <c r="J611" s="1" t="s">
        <v>770</v>
      </c>
      <c r="K611">
        <v>108318905</v>
      </c>
      <c r="L611" s="2">
        <v>45985</v>
      </c>
      <c r="M611">
        <v>21</v>
      </c>
      <c r="N611">
        <v>1</v>
      </c>
      <c r="O611">
        <v>8</v>
      </c>
      <c r="P611">
        <v>4</v>
      </c>
      <c r="Q611" t="s">
        <v>7</v>
      </c>
    </row>
    <row r="612" spans="1:17">
      <c r="A612" t="s">
        <v>1021</v>
      </c>
      <c r="B612" s="672" t="s">
        <v>965</v>
      </c>
      <c r="C612">
        <v>0.01</v>
      </c>
      <c r="D612" t="s">
        <v>756</v>
      </c>
      <c r="E612" t="s">
        <v>1052</v>
      </c>
      <c r="F612" t="s">
        <v>1032</v>
      </c>
      <c r="G612" s="672" t="s">
        <v>961</v>
      </c>
      <c r="H612">
        <v>1.4410000000000001</v>
      </c>
      <c r="J612" s="1" t="s">
        <v>770</v>
      </c>
      <c r="K612">
        <v>107898047</v>
      </c>
      <c r="L612" s="2">
        <v>45590</v>
      </c>
      <c r="M612">
        <v>30</v>
      </c>
      <c r="N612">
        <v>1</v>
      </c>
      <c r="O612">
        <v>0</v>
      </c>
      <c r="P612">
        <v>1</v>
      </c>
      <c r="Q612" t="s">
        <v>3</v>
      </c>
    </row>
    <row r="613" spans="1:17">
      <c r="A613" t="s">
        <v>1021</v>
      </c>
      <c r="B613" s="672" t="s">
        <v>965</v>
      </c>
      <c r="C613">
        <v>4.7E-2</v>
      </c>
      <c r="D613" t="s">
        <v>756</v>
      </c>
      <c r="E613" t="s">
        <v>1064</v>
      </c>
      <c r="F613" t="s">
        <v>1056</v>
      </c>
      <c r="G613" s="672" t="s">
        <v>961</v>
      </c>
      <c r="H613">
        <v>1.452</v>
      </c>
      <c r="J613" s="1" t="s">
        <v>770</v>
      </c>
      <c r="K613">
        <v>107502104</v>
      </c>
      <c r="L613" s="2">
        <v>45224</v>
      </c>
      <c r="M613">
        <v>28</v>
      </c>
      <c r="N613">
        <v>1</v>
      </c>
      <c r="O613">
        <v>0</v>
      </c>
      <c r="P613">
        <v>3</v>
      </c>
      <c r="Q613" t="s">
        <v>7</v>
      </c>
    </row>
    <row r="614" spans="1:17">
      <c r="A614" t="s">
        <v>1021</v>
      </c>
      <c r="B614" s="672" t="s">
        <v>965</v>
      </c>
      <c r="C614">
        <v>2.5000000000000001E-2</v>
      </c>
      <c r="D614" t="s">
        <v>756</v>
      </c>
      <c r="E614" t="s">
        <v>1052</v>
      </c>
      <c r="F614" t="s">
        <v>1054</v>
      </c>
      <c r="G614" s="672" t="s">
        <v>961</v>
      </c>
      <c r="H614">
        <v>1.456</v>
      </c>
      <c r="J614" s="1" t="s">
        <v>770</v>
      </c>
      <c r="K614">
        <v>107109749</v>
      </c>
      <c r="L614" s="2">
        <v>44847</v>
      </c>
      <c r="M614">
        <v>21</v>
      </c>
      <c r="N614">
        <v>1</v>
      </c>
      <c r="O614">
        <v>1</v>
      </c>
      <c r="P614">
        <v>1</v>
      </c>
      <c r="Q614" t="s">
        <v>7</v>
      </c>
    </row>
    <row r="615" spans="1:17">
      <c r="A615" t="s">
        <v>1021</v>
      </c>
      <c r="B615" s="672" t="s">
        <v>965</v>
      </c>
      <c r="C615">
        <v>3.6999999999999998E-2</v>
      </c>
      <c r="D615" t="s">
        <v>756</v>
      </c>
      <c r="E615" t="s">
        <v>1052</v>
      </c>
      <c r="F615" s="675" t="s">
        <v>979</v>
      </c>
      <c r="G615" s="672" t="s">
        <v>961</v>
      </c>
      <c r="H615">
        <v>1.468</v>
      </c>
      <c r="J615" s="1" t="s">
        <v>770</v>
      </c>
      <c r="K615">
        <v>105532234</v>
      </c>
      <c r="L615" s="2">
        <v>43264</v>
      </c>
      <c r="M615">
        <v>21</v>
      </c>
      <c r="N615">
        <v>1</v>
      </c>
      <c r="O615">
        <v>0</v>
      </c>
      <c r="P615">
        <v>1</v>
      </c>
      <c r="Q615" t="s">
        <v>3</v>
      </c>
    </row>
    <row r="616" spans="1:17">
      <c r="A616" t="s">
        <v>1021</v>
      </c>
      <c r="B616" s="672" t="s">
        <v>965</v>
      </c>
      <c r="C616">
        <v>8.5999999999999993E-2</v>
      </c>
      <c r="D616" t="s">
        <v>756</v>
      </c>
      <c r="E616" t="s">
        <v>1052</v>
      </c>
      <c r="F616" s="675" t="s">
        <v>979</v>
      </c>
      <c r="G616" s="672" t="s">
        <v>961</v>
      </c>
      <c r="H616">
        <v>1.5169999999999999</v>
      </c>
      <c r="J616" s="1" t="s">
        <v>770</v>
      </c>
      <c r="K616">
        <v>105196721</v>
      </c>
      <c r="L616" s="2">
        <v>42952</v>
      </c>
      <c r="M616">
        <v>31</v>
      </c>
      <c r="N616">
        <v>1</v>
      </c>
      <c r="O616">
        <v>8</v>
      </c>
      <c r="P616">
        <v>1</v>
      </c>
      <c r="Q616" t="s">
        <v>7</v>
      </c>
    </row>
    <row r="617" spans="1:17">
      <c r="A617" t="s">
        <v>1021</v>
      </c>
      <c r="B617" s="672" t="s">
        <v>965</v>
      </c>
      <c r="C617">
        <v>9.8000000000000004E-2</v>
      </c>
      <c r="D617" t="s">
        <v>756</v>
      </c>
      <c r="E617" t="s">
        <v>1052</v>
      </c>
      <c r="F617" t="s">
        <v>1064</v>
      </c>
      <c r="G617" s="672" t="s">
        <v>961</v>
      </c>
      <c r="H617">
        <v>1.5289999999999999</v>
      </c>
      <c r="J617" s="1" t="s">
        <v>770</v>
      </c>
      <c r="K617">
        <v>107303579</v>
      </c>
      <c r="L617" s="2">
        <v>45032</v>
      </c>
      <c r="M617">
        <v>21</v>
      </c>
      <c r="N617">
        <v>1</v>
      </c>
      <c r="O617">
        <v>1</v>
      </c>
      <c r="P617">
        <v>4</v>
      </c>
      <c r="Q617" t="s">
        <v>7</v>
      </c>
    </row>
    <row r="618" spans="1:17">
      <c r="A618" t="s">
        <v>1021</v>
      </c>
      <c r="B618" s="672" t="s">
        <v>965</v>
      </c>
      <c r="C618">
        <v>0.1</v>
      </c>
      <c r="D618" t="s">
        <v>756</v>
      </c>
      <c r="E618" t="s">
        <v>1052</v>
      </c>
      <c r="F618" t="s">
        <v>1054</v>
      </c>
      <c r="G618" s="672" t="s">
        <v>961</v>
      </c>
      <c r="H618">
        <v>1.5309999999999999</v>
      </c>
      <c r="J618" s="1" t="s">
        <v>770</v>
      </c>
      <c r="K618">
        <v>106386253</v>
      </c>
      <c r="L618" s="2">
        <v>44112</v>
      </c>
      <c r="M618">
        <v>21</v>
      </c>
      <c r="N618">
        <v>1</v>
      </c>
      <c r="O618">
        <v>1</v>
      </c>
      <c r="P618">
        <v>1</v>
      </c>
      <c r="Q618" t="s">
        <v>3</v>
      </c>
    </row>
    <row r="619" spans="1:17">
      <c r="A619" t="s">
        <v>1021</v>
      </c>
      <c r="B619" s="672" t="s">
        <v>965</v>
      </c>
      <c r="C619">
        <v>0.7</v>
      </c>
      <c r="D619" t="s">
        <v>756</v>
      </c>
      <c r="E619" t="s">
        <v>1039</v>
      </c>
      <c r="F619" t="s">
        <v>1064</v>
      </c>
      <c r="G619" s="672" t="s">
        <v>961</v>
      </c>
      <c r="H619">
        <v>1.5389999999999999</v>
      </c>
      <c r="J619" s="1" t="s">
        <v>770</v>
      </c>
      <c r="K619">
        <v>107288100</v>
      </c>
      <c r="L619" s="2">
        <v>45015</v>
      </c>
      <c r="M619">
        <v>17</v>
      </c>
      <c r="N619">
        <v>1</v>
      </c>
      <c r="O619">
        <v>0</v>
      </c>
      <c r="P619">
        <v>1</v>
      </c>
      <c r="Q619" t="s">
        <v>7</v>
      </c>
    </row>
    <row r="620" spans="1:17">
      <c r="A620" t="s">
        <v>1021</v>
      </c>
      <c r="B620" s="672" t="s">
        <v>965</v>
      </c>
      <c r="C620">
        <v>5.7000000000000002E-2</v>
      </c>
      <c r="D620" t="s">
        <v>758</v>
      </c>
      <c r="E620" s="675" t="s">
        <v>979</v>
      </c>
      <c r="F620" t="s">
        <v>1052</v>
      </c>
      <c r="G620" s="672" t="s">
        <v>961</v>
      </c>
      <c r="H620">
        <v>1.5389999999999999</v>
      </c>
      <c r="J620" s="1" t="s">
        <v>770</v>
      </c>
      <c r="K620">
        <v>107150016</v>
      </c>
      <c r="L620" s="2">
        <v>44873</v>
      </c>
      <c r="M620">
        <v>17</v>
      </c>
      <c r="N620">
        <v>1</v>
      </c>
      <c r="O620">
        <v>0</v>
      </c>
      <c r="P620">
        <v>1</v>
      </c>
      <c r="Q620" t="s">
        <v>7</v>
      </c>
    </row>
    <row r="621" spans="1:17">
      <c r="A621" t="s">
        <v>1021</v>
      </c>
      <c r="B621" s="672" t="s">
        <v>965</v>
      </c>
      <c r="C621">
        <v>1.9E-2</v>
      </c>
      <c r="D621" t="s">
        <v>758</v>
      </c>
      <c r="E621" s="675" t="s">
        <v>979</v>
      </c>
      <c r="F621" t="s">
        <v>1052</v>
      </c>
      <c r="G621" s="672" t="s">
        <v>961</v>
      </c>
      <c r="H621">
        <v>1.577</v>
      </c>
      <c r="J621" s="1" t="s">
        <v>770</v>
      </c>
      <c r="K621">
        <v>105028159</v>
      </c>
      <c r="L621" s="2">
        <v>42766</v>
      </c>
      <c r="M621">
        <v>28</v>
      </c>
      <c r="N621">
        <v>1</v>
      </c>
      <c r="P621">
        <v>5</v>
      </c>
      <c r="Q621" t="s">
        <v>7</v>
      </c>
    </row>
    <row r="622" spans="1:17">
      <c r="A622" t="s">
        <v>1021</v>
      </c>
      <c r="B622" s="672" t="s">
        <v>965</v>
      </c>
      <c r="C622">
        <v>1.9E-2</v>
      </c>
      <c r="D622" t="s">
        <v>765</v>
      </c>
      <c r="E622" s="675" t="s">
        <v>979</v>
      </c>
      <c r="F622" t="s">
        <v>1052</v>
      </c>
      <c r="G622" s="672" t="s">
        <v>961</v>
      </c>
      <c r="H622">
        <v>1.577</v>
      </c>
      <c r="J622" s="1" t="s">
        <v>770</v>
      </c>
      <c r="K622">
        <v>107251476</v>
      </c>
      <c r="L622" s="2">
        <v>44979</v>
      </c>
      <c r="M622">
        <v>30</v>
      </c>
      <c r="N622">
        <v>1</v>
      </c>
      <c r="O622">
        <v>8</v>
      </c>
      <c r="P622">
        <v>1</v>
      </c>
      <c r="Q622" t="s">
        <v>7</v>
      </c>
    </row>
    <row r="623" spans="1:17">
      <c r="A623" t="s">
        <v>1021</v>
      </c>
      <c r="B623" s="672" t="s">
        <v>965</v>
      </c>
      <c r="C623">
        <v>1.9E-2</v>
      </c>
      <c r="D623" t="s">
        <v>758</v>
      </c>
      <c r="E623" s="675" t="s">
        <v>979</v>
      </c>
      <c r="F623" t="s">
        <v>1052</v>
      </c>
      <c r="G623" s="672" t="s">
        <v>961</v>
      </c>
      <c r="H623">
        <v>1.577</v>
      </c>
      <c r="J623" s="1" t="s">
        <v>770</v>
      </c>
      <c r="K623">
        <v>106502455</v>
      </c>
      <c r="L623" s="2">
        <v>44201</v>
      </c>
      <c r="M623">
        <v>32</v>
      </c>
      <c r="N623">
        <v>1</v>
      </c>
      <c r="P623">
        <v>1</v>
      </c>
      <c r="Q623" t="s">
        <v>7</v>
      </c>
    </row>
    <row r="624" spans="1:17">
      <c r="A624" t="s">
        <v>1021</v>
      </c>
      <c r="B624" s="672" t="s">
        <v>965</v>
      </c>
      <c r="C624">
        <v>0.01</v>
      </c>
      <c r="D624" t="s">
        <v>758</v>
      </c>
      <c r="E624" s="675" t="s">
        <v>979</v>
      </c>
      <c r="F624" t="s">
        <v>1119</v>
      </c>
      <c r="G624" s="672" t="s">
        <v>961</v>
      </c>
      <c r="H624">
        <v>1.5860000000000001</v>
      </c>
      <c r="J624" s="1" t="s">
        <v>770</v>
      </c>
      <c r="K624">
        <v>106211357</v>
      </c>
      <c r="L624" s="2">
        <v>43866</v>
      </c>
      <c r="M624">
        <v>21</v>
      </c>
      <c r="N624">
        <v>2</v>
      </c>
      <c r="O624">
        <v>0</v>
      </c>
      <c r="P624">
        <v>1</v>
      </c>
      <c r="Q624" t="s">
        <v>7</v>
      </c>
    </row>
    <row r="625" spans="1:17">
      <c r="A625" t="s">
        <v>1021</v>
      </c>
      <c r="B625" s="672" t="s">
        <v>965</v>
      </c>
      <c r="C625">
        <v>2E-3</v>
      </c>
      <c r="D625" t="s">
        <v>758</v>
      </c>
      <c r="E625" s="675" t="s">
        <v>979</v>
      </c>
      <c r="F625" t="s">
        <v>1113</v>
      </c>
      <c r="G625" s="672" t="s">
        <v>961</v>
      </c>
      <c r="H625">
        <v>1.5940000000000001</v>
      </c>
      <c r="J625" s="1" t="s">
        <v>770</v>
      </c>
      <c r="K625">
        <v>105919394</v>
      </c>
      <c r="L625" s="2">
        <v>43628</v>
      </c>
      <c r="M625">
        <v>21</v>
      </c>
      <c r="N625">
        <v>2</v>
      </c>
      <c r="O625">
        <v>8</v>
      </c>
      <c r="P625">
        <v>1</v>
      </c>
      <c r="Q625" t="s">
        <v>7</v>
      </c>
    </row>
    <row r="626" spans="1:17">
      <c r="A626" t="s">
        <v>1021</v>
      </c>
      <c r="B626" s="672" t="s">
        <v>965</v>
      </c>
      <c r="C626">
        <v>2E-3</v>
      </c>
      <c r="D626" t="s">
        <v>765</v>
      </c>
      <c r="E626" s="675" t="s">
        <v>979</v>
      </c>
      <c r="F626" t="s">
        <v>1088</v>
      </c>
      <c r="G626" s="672" t="s">
        <v>961</v>
      </c>
      <c r="H626">
        <v>1.5940000000000001</v>
      </c>
      <c r="J626" s="1" t="s">
        <v>770</v>
      </c>
      <c r="K626">
        <v>108606539</v>
      </c>
      <c r="L626" s="2">
        <v>46265</v>
      </c>
      <c r="M626">
        <v>21</v>
      </c>
      <c r="N626">
        <v>1</v>
      </c>
      <c r="O626">
        <v>8</v>
      </c>
      <c r="P626">
        <v>1</v>
      </c>
      <c r="Q626" t="s">
        <v>8</v>
      </c>
    </row>
    <row r="627" spans="1:17">
      <c r="A627" t="s">
        <v>1021</v>
      </c>
      <c r="B627" s="672" t="s">
        <v>965</v>
      </c>
      <c r="C627">
        <v>0</v>
      </c>
      <c r="E627" s="675" t="s">
        <v>979</v>
      </c>
      <c r="F627" t="s">
        <v>1088</v>
      </c>
      <c r="G627" s="672" t="s">
        <v>961</v>
      </c>
      <c r="H627">
        <v>1.5960000000000001</v>
      </c>
      <c r="J627" s="1" t="s">
        <v>770</v>
      </c>
      <c r="K627">
        <v>108029530</v>
      </c>
      <c r="L627" s="2">
        <v>45712</v>
      </c>
      <c r="M627">
        <v>21</v>
      </c>
      <c r="N627">
        <v>1</v>
      </c>
      <c r="O627">
        <v>0</v>
      </c>
      <c r="P627">
        <v>1</v>
      </c>
      <c r="Q627" t="s">
        <v>7</v>
      </c>
    </row>
    <row r="628" spans="1:17">
      <c r="A628" t="s">
        <v>1021</v>
      </c>
      <c r="B628" s="672" t="s">
        <v>965</v>
      </c>
      <c r="C628">
        <v>0</v>
      </c>
      <c r="E628" s="675" t="s">
        <v>979</v>
      </c>
      <c r="F628" t="s">
        <v>1088</v>
      </c>
      <c r="G628" s="672" t="s">
        <v>961</v>
      </c>
      <c r="H628">
        <v>1.5960000000000001</v>
      </c>
      <c r="J628" s="1" t="s">
        <v>770</v>
      </c>
      <c r="K628">
        <v>104998989</v>
      </c>
      <c r="L628" s="2">
        <v>42735</v>
      </c>
      <c r="M628">
        <v>30</v>
      </c>
      <c r="N628">
        <v>1</v>
      </c>
      <c r="O628">
        <v>7</v>
      </c>
      <c r="P628">
        <v>4</v>
      </c>
      <c r="Q628" t="s">
        <v>3</v>
      </c>
    </row>
    <row r="629" spans="1:17">
      <c r="A629" t="s">
        <v>1021</v>
      </c>
      <c r="B629" s="672" t="s">
        <v>965</v>
      </c>
      <c r="C629">
        <v>0</v>
      </c>
      <c r="E629" s="675" t="s">
        <v>979</v>
      </c>
      <c r="F629" t="s">
        <v>1032</v>
      </c>
      <c r="G629" s="672" t="s">
        <v>961</v>
      </c>
      <c r="H629">
        <v>1.5960000000000001</v>
      </c>
      <c r="J629" s="1" t="s">
        <v>770</v>
      </c>
      <c r="K629">
        <v>105277902</v>
      </c>
      <c r="L629" s="2">
        <v>43032</v>
      </c>
      <c r="M629">
        <v>21</v>
      </c>
      <c r="N629">
        <v>1</v>
      </c>
      <c r="O629">
        <v>8</v>
      </c>
      <c r="P629">
        <v>1</v>
      </c>
      <c r="Q629" t="s">
        <v>7</v>
      </c>
    </row>
    <row r="630" spans="1:17">
      <c r="A630" t="s">
        <v>1021</v>
      </c>
      <c r="B630" s="672" t="s">
        <v>965</v>
      </c>
      <c r="C630">
        <v>0</v>
      </c>
      <c r="E630" s="675" t="s">
        <v>979</v>
      </c>
      <c r="F630" t="s">
        <v>1032</v>
      </c>
      <c r="G630" s="672" t="s">
        <v>961</v>
      </c>
      <c r="H630">
        <v>1.5960000000000001</v>
      </c>
      <c r="J630" s="1" t="s">
        <v>770</v>
      </c>
      <c r="K630">
        <v>105847993</v>
      </c>
      <c r="L630" s="2">
        <v>43559</v>
      </c>
      <c r="M630">
        <v>21</v>
      </c>
      <c r="N630">
        <v>1</v>
      </c>
      <c r="O630">
        <v>8</v>
      </c>
      <c r="P630">
        <v>1</v>
      </c>
      <c r="Q630" t="s">
        <v>7</v>
      </c>
    </row>
    <row r="631" spans="1:17">
      <c r="A631" t="s">
        <v>1021</v>
      </c>
      <c r="B631" s="672" t="s">
        <v>965</v>
      </c>
      <c r="C631">
        <v>0</v>
      </c>
      <c r="E631" s="675" t="s">
        <v>979</v>
      </c>
      <c r="F631" t="s">
        <v>1032</v>
      </c>
      <c r="G631" s="672" t="s">
        <v>961</v>
      </c>
      <c r="H631">
        <v>1.5960000000000001</v>
      </c>
      <c r="J631" s="1" t="s">
        <v>770</v>
      </c>
      <c r="K631">
        <v>106802035</v>
      </c>
      <c r="L631" s="2">
        <v>44349</v>
      </c>
      <c r="M631">
        <v>21</v>
      </c>
      <c r="N631">
        <v>2</v>
      </c>
      <c r="O631">
        <v>2</v>
      </c>
      <c r="P631">
        <v>1</v>
      </c>
      <c r="Q631" t="s">
        <v>7</v>
      </c>
    </row>
    <row r="632" spans="1:17">
      <c r="A632" t="s">
        <v>1021</v>
      </c>
      <c r="B632" s="672" t="s">
        <v>965</v>
      </c>
      <c r="C632">
        <v>0</v>
      </c>
      <c r="E632" s="675" t="s">
        <v>979</v>
      </c>
      <c r="F632" t="s">
        <v>1032</v>
      </c>
      <c r="G632" s="672" t="s">
        <v>961</v>
      </c>
      <c r="H632">
        <v>1.5960000000000001</v>
      </c>
      <c r="J632" s="1" t="s">
        <v>770</v>
      </c>
      <c r="K632">
        <v>106802179</v>
      </c>
      <c r="L632" s="2">
        <v>44413</v>
      </c>
      <c r="M632">
        <v>21</v>
      </c>
      <c r="N632">
        <v>1</v>
      </c>
      <c r="O632">
        <v>2</v>
      </c>
      <c r="P632">
        <v>1</v>
      </c>
      <c r="Q632" t="s">
        <v>7</v>
      </c>
    </row>
    <row r="633" spans="1:17">
      <c r="A633" t="s">
        <v>1021</v>
      </c>
      <c r="B633" s="672" t="s">
        <v>965</v>
      </c>
      <c r="C633">
        <v>0</v>
      </c>
      <c r="E633" s="675" t="s">
        <v>979</v>
      </c>
      <c r="F633" t="s">
        <v>1032</v>
      </c>
      <c r="G633" s="672" t="s">
        <v>961</v>
      </c>
      <c r="H633">
        <v>1.5960000000000001</v>
      </c>
      <c r="J633" s="1" t="s">
        <v>770</v>
      </c>
      <c r="K633">
        <v>105682091</v>
      </c>
      <c r="L633" s="2">
        <v>43410</v>
      </c>
      <c r="M633">
        <v>30</v>
      </c>
      <c r="N633">
        <v>2</v>
      </c>
      <c r="O633">
        <v>7</v>
      </c>
      <c r="P633">
        <v>1</v>
      </c>
      <c r="Q633" t="s">
        <v>3</v>
      </c>
    </row>
    <row r="634" spans="1:17">
      <c r="A634" t="s">
        <v>1021</v>
      </c>
      <c r="B634" s="672" t="s">
        <v>965</v>
      </c>
      <c r="C634">
        <v>0</v>
      </c>
      <c r="E634" s="675" t="s">
        <v>979</v>
      </c>
      <c r="F634" t="s">
        <v>1064</v>
      </c>
      <c r="G634" s="672" t="s">
        <v>961</v>
      </c>
      <c r="H634">
        <v>1.5960000000000001</v>
      </c>
      <c r="J634" s="1" t="s">
        <v>770</v>
      </c>
      <c r="K634">
        <v>106802327</v>
      </c>
      <c r="L634" s="2">
        <v>44496</v>
      </c>
      <c r="M634">
        <v>21</v>
      </c>
      <c r="N634">
        <v>1</v>
      </c>
      <c r="O634">
        <v>2</v>
      </c>
      <c r="P634">
        <v>1</v>
      </c>
      <c r="Q634" t="s">
        <v>7</v>
      </c>
    </row>
    <row r="635" spans="1:17">
      <c r="A635" t="s">
        <v>1021</v>
      </c>
      <c r="B635" s="672" t="s">
        <v>965</v>
      </c>
      <c r="C635">
        <v>0</v>
      </c>
      <c r="E635" s="675" t="s">
        <v>979</v>
      </c>
      <c r="F635" t="s">
        <v>1064</v>
      </c>
      <c r="G635" s="672" t="s">
        <v>961</v>
      </c>
      <c r="H635">
        <v>1.5960000000000001</v>
      </c>
      <c r="J635" s="1" t="s">
        <v>770</v>
      </c>
      <c r="K635">
        <v>106285439</v>
      </c>
      <c r="L635" s="2">
        <v>43977</v>
      </c>
      <c r="M635">
        <v>23</v>
      </c>
      <c r="N635">
        <v>1</v>
      </c>
      <c r="O635">
        <v>8</v>
      </c>
      <c r="P635">
        <v>1</v>
      </c>
      <c r="Q635" t="s">
        <v>3</v>
      </c>
    </row>
    <row r="636" spans="1:17">
      <c r="A636" t="s">
        <v>1021</v>
      </c>
      <c r="B636" s="672" t="s">
        <v>965</v>
      </c>
      <c r="C636">
        <v>0</v>
      </c>
      <c r="E636" s="675" t="s">
        <v>979</v>
      </c>
      <c r="F636" t="s">
        <v>1052</v>
      </c>
      <c r="G636" s="672" t="s">
        <v>961</v>
      </c>
      <c r="H636">
        <v>1.5960000000000001</v>
      </c>
      <c r="J636" s="1" t="s">
        <v>770</v>
      </c>
      <c r="K636">
        <v>107101829</v>
      </c>
      <c r="L636" s="2">
        <v>44839</v>
      </c>
      <c r="M636">
        <v>5</v>
      </c>
      <c r="N636">
        <v>1</v>
      </c>
      <c r="O636">
        <v>8</v>
      </c>
      <c r="P636">
        <v>2</v>
      </c>
      <c r="Q636" t="s">
        <v>8</v>
      </c>
    </row>
    <row r="637" spans="1:17">
      <c r="A637" t="s">
        <v>1021</v>
      </c>
      <c r="B637" s="672" t="s">
        <v>965</v>
      </c>
      <c r="C637">
        <v>0</v>
      </c>
      <c r="E637" s="675" t="s">
        <v>979</v>
      </c>
      <c r="F637" t="s">
        <v>1052</v>
      </c>
      <c r="G637" s="672" t="s">
        <v>961</v>
      </c>
      <c r="H637">
        <v>1.5960000000000001</v>
      </c>
      <c r="J637" s="1" t="s">
        <v>770</v>
      </c>
      <c r="K637">
        <v>107911891</v>
      </c>
      <c r="L637" s="2">
        <v>45602</v>
      </c>
      <c r="M637">
        <v>21</v>
      </c>
      <c r="N637">
        <v>1</v>
      </c>
      <c r="O637">
        <v>8</v>
      </c>
      <c r="P637">
        <v>1</v>
      </c>
      <c r="Q637" t="s">
        <v>7</v>
      </c>
    </row>
    <row r="638" spans="1:17">
      <c r="A638" t="s">
        <v>1021</v>
      </c>
      <c r="B638" s="672" t="s">
        <v>965</v>
      </c>
      <c r="C638">
        <v>0</v>
      </c>
      <c r="E638" s="675" t="s">
        <v>979</v>
      </c>
      <c r="F638" t="s">
        <v>1052</v>
      </c>
      <c r="G638" s="672" t="s">
        <v>961</v>
      </c>
      <c r="H638">
        <v>1.5960000000000001</v>
      </c>
      <c r="J638" s="1" t="s">
        <v>770</v>
      </c>
      <c r="K638">
        <v>105329621</v>
      </c>
      <c r="L638" s="2">
        <v>43077</v>
      </c>
      <c r="M638">
        <v>23</v>
      </c>
      <c r="N638">
        <v>2</v>
      </c>
      <c r="O638">
        <v>19</v>
      </c>
      <c r="P638">
        <v>3</v>
      </c>
      <c r="Q638" t="s">
        <v>7</v>
      </c>
    </row>
    <row r="639" spans="1:17">
      <c r="A639" t="s">
        <v>1021</v>
      </c>
      <c r="B639" s="672" t="s">
        <v>965</v>
      </c>
      <c r="C639">
        <v>0</v>
      </c>
      <c r="E639" s="675" t="s">
        <v>979</v>
      </c>
      <c r="F639" t="s">
        <v>1052</v>
      </c>
      <c r="G639" s="672" t="s">
        <v>961</v>
      </c>
      <c r="H639">
        <v>1.5960000000000001</v>
      </c>
      <c r="J639" s="1" t="s">
        <v>770</v>
      </c>
      <c r="K639">
        <v>107686011</v>
      </c>
      <c r="L639" s="2">
        <v>45394</v>
      </c>
      <c r="M639">
        <v>23</v>
      </c>
      <c r="N639">
        <v>1</v>
      </c>
      <c r="O639">
        <v>7</v>
      </c>
      <c r="P639">
        <v>1</v>
      </c>
      <c r="Q639" t="s">
        <v>7</v>
      </c>
    </row>
    <row r="640" spans="1:17">
      <c r="A640" t="s">
        <v>1021</v>
      </c>
      <c r="B640" s="672" t="s">
        <v>965</v>
      </c>
      <c r="C640">
        <v>0</v>
      </c>
      <c r="E640" s="675" t="s">
        <v>979</v>
      </c>
      <c r="F640" t="s">
        <v>1052</v>
      </c>
      <c r="G640" s="672" t="s">
        <v>961</v>
      </c>
      <c r="H640">
        <v>1.5960000000000001</v>
      </c>
      <c r="J640" s="1" t="s">
        <v>770</v>
      </c>
      <c r="K640">
        <v>106296414</v>
      </c>
      <c r="L640" s="2">
        <v>44000</v>
      </c>
      <c r="M640">
        <v>28</v>
      </c>
      <c r="N640">
        <v>1</v>
      </c>
      <c r="O640">
        <v>8</v>
      </c>
      <c r="P640">
        <v>1</v>
      </c>
      <c r="Q640" t="s">
        <v>8</v>
      </c>
    </row>
    <row r="641" spans="1:17">
      <c r="A641" t="s">
        <v>1021</v>
      </c>
      <c r="B641" s="672" t="s">
        <v>965</v>
      </c>
      <c r="C641">
        <v>0</v>
      </c>
      <c r="E641" s="675" t="s">
        <v>979</v>
      </c>
      <c r="F641" t="s">
        <v>1052</v>
      </c>
      <c r="G641" s="672" t="s">
        <v>961</v>
      </c>
      <c r="H641">
        <v>1.5960000000000001</v>
      </c>
      <c r="J641" s="1" t="s">
        <v>770</v>
      </c>
      <c r="K641">
        <v>104982032</v>
      </c>
      <c r="L641" s="2">
        <v>42730</v>
      </c>
      <c r="M641">
        <v>30</v>
      </c>
      <c r="N641">
        <v>1</v>
      </c>
      <c r="O641">
        <v>8</v>
      </c>
      <c r="P641">
        <v>2</v>
      </c>
      <c r="Q641" t="s">
        <v>7</v>
      </c>
    </row>
    <row r="642" spans="1:17">
      <c r="A642" t="s">
        <v>1021</v>
      </c>
      <c r="B642" s="672" t="s">
        <v>965</v>
      </c>
      <c r="C642">
        <v>0</v>
      </c>
      <c r="E642" s="675" t="s">
        <v>979</v>
      </c>
      <c r="F642" t="s">
        <v>1052</v>
      </c>
      <c r="G642" s="672" t="s">
        <v>961</v>
      </c>
      <c r="H642">
        <v>1.5960000000000001</v>
      </c>
      <c r="J642" s="1" t="s">
        <v>770</v>
      </c>
      <c r="K642">
        <v>107747986</v>
      </c>
      <c r="L642" s="2">
        <v>45453</v>
      </c>
      <c r="M642">
        <v>30</v>
      </c>
      <c r="N642">
        <v>1</v>
      </c>
      <c r="O642">
        <v>0</v>
      </c>
      <c r="P642">
        <v>1</v>
      </c>
      <c r="Q642" t="s">
        <v>7</v>
      </c>
    </row>
    <row r="643" spans="1:17">
      <c r="A643" t="s">
        <v>1021</v>
      </c>
      <c r="B643" s="672" t="s">
        <v>965</v>
      </c>
      <c r="C643">
        <v>0</v>
      </c>
      <c r="E643" s="675" t="s">
        <v>979</v>
      </c>
      <c r="F643" t="s">
        <v>1052</v>
      </c>
      <c r="G643" s="672" t="s">
        <v>961</v>
      </c>
      <c r="H643">
        <v>1.5960000000000001</v>
      </c>
      <c r="J643" s="1" t="s">
        <v>770</v>
      </c>
      <c r="K643">
        <v>107866086</v>
      </c>
      <c r="L643" s="2">
        <v>45565</v>
      </c>
      <c r="M643">
        <v>30</v>
      </c>
      <c r="N643">
        <v>1</v>
      </c>
      <c r="O643">
        <v>8</v>
      </c>
      <c r="P643">
        <v>1</v>
      </c>
      <c r="Q643" t="s">
        <v>7</v>
      </c>
    </row>
    <row r="644" spans="1:17">
      <c r="A644" t="s">
        <v>1021</v>
      </c>
      <c r="B644" s="672" t="s">
        <v>965</v>
      </c>
      <c r="C644">
        <v>0</v>
      </c>
      <c r="E644" s="675" t="s">
        <v>979</v>
      </c>
      <c r="F644" t="s">
        <v>1052</v>
      </c>
      <c r="G644" s="672" t="s">
        <v>961</v>
      </c>
      <c r="H644">
        <v>1.5960000000000001</v>
      </c>
      <c r="J644" s="1" t="s">
        <v>770</v>
      </c>
      <c r="K644">
        <v>108304197</v>
      </c>
      <c r="L644" s="2">
        <v>45973</v>
      </c>
      <c r="M644">
        <v>30</v>
      </c>
      <c r="N644">
        <v>1</v>
      </c>
      <c r="O644">
        <v>8</v>
      </c>
      <c r="P644">
        <v>4</v>
      </c>
      <c r="Q644" t="s">
        <v>7</v>
      </c>
    </row>
    <row r="645" spans="1:17">
      <c r="A645" t="s">
        <v>1021</v>
      </c>
      <c r="B645" s="672" t="s">
        <v>965</v>
      </c>
      <c r="C645">
        <v>0</v>
      </c>
      <c r="E645" s="675" t="s">
        <v>979</v>
      </c>
      <c r="F645" t="s">
        <v>1054</v>
      </c>
      <c r="G645" s="672" t="s">
        <v>961</v>
      </c>
      <c r="H645">
        <v>1.5960000000000001</v>
      </c>
      <c r="J645" s="1" t="s">
        <v>770</v>
      </c>
      <c r="K645">
        <v>106838564</v>
      </c>
      <c r="L645" s="2">
        <v>44582</v>
      </c>
      <c r="M645">
        <v>2</v>
      </c>
      <c r="N645">
        <v>4</v>
      </c>
      <c r="O645">
        <v>7</v>
      </c>
      <c r="P645">
        <v>4</v>
      </c>
      <c r="Q645" t="s">
        <v>7</v>
      </c>
    </row>
    <row r="646" spans="1:17">
      <c r="A646" t="s">
        <v>1021</v>
      </c>
      <c r="B646" s="672" t="s">
        <v>965</v>
      </c>
      <c r="C646">
        <v>0</v>
      </c>
      <c r="E646" s="675" t="s">
        <v>979</v>
      </c>
      <c r="F646" t="s">
        <v>1054</v>
      </c>
      <c r="G646" s="672" t="s">
        <v>961</v>
      </c>
      <c r="H646">
        <v>1.5960000000000001</v>
      </c>
      <c r="J646" s="1" t="s">
        <v>770</v>
      </c>
      <c r="K646">
        <v>107502022</v>
      </c>
      <c r="L646" s="2">
        <v>45224</v>
      </c>
      <c r="M646">
        <v>17</v>
      </c>
      <c r="N646">
        <v>1</v>
      </c>
      <c r="O646">
        <v>1</v>
      </c>
      <c r="P646">
        <v>1</v>
      </c>
      <c r="Q646" t="s">
        <v>7</v>
      </c>
    </row>
    <row r="647" spans="1:17">
      <c r="A647" t="s">
        <v>1021</v>
      </c>
      <c r="B647" s="672" t="s">
        <v>965</v>
      </c>
      <c r="C647">
        <v>0</v>
      </c>
      <c r="E647" s="675" t="s">
        <v>979</v>
      </c>
      <c r="F647" t="s">
        <v>1054</v>
      </c>
      <c r="G647" s="672" t="s">
        <v>961</v>
      </c>
      <c r="H647">
        <v>1.5960000000000001</v>
      </c>
      <c r="J647" s="1" t="s">
        <v>770</v>
      </c>
      <c r="K647">
        <v>105611575</v>
      </c>
      <c r="L647" s="2">
        <v>43354</v>
      </c>
      <c r="M647">
        <v>21</v>
      </c>
      <c r="N647">
        <v>2</v>
      </c>
      <c r="O647">
        <v>2</v>
      </c>
      <c r="P647">
        <v>4</v>
      </c>
      <c r="Q647" t="s">
        <v>3</v>
      </c>
    </row>
    <row r="648" spans="1:17">
      <c r="A648" t="s">
        <v>1021</v>
      </c>
      <c r="B648" s="672" t="s">
        <v>965</v>
      </c>
      <c r="C648">
        <v>0</v>
      </c>
      <c r="E648" s="675" t="s">
        <v>979</v>
      </c>
      <c r="F648" t="s">
        <v>1054</v>
      </c>
      <c r="G648" s="672" t="s">
        <v>961</v>
      </c>
      <c r="H648">
        <v>1.5960000000000001</v>
      </c>
      <c r="J648" s="1" t="s">
        <v>770</v>
      </c>
      <c r="K648">
        <v>105669430</v>
      </c>
      <c r="L648" s="2">
        <v>43399</v>
      </c>
      <c r="M648">
        <v>21</v>
      </c>
      <c r="N648">
        <v>2</v>
      </c>
      <c r="O648">
        <v>7</v>
      </c>
      <c r="P648">
        <v>1</v>
      </c>
      <c r="Q648" t="s">
        <v>7</v>
      </c>
    </row>
    <row r="649" spans="1:17">
      <c r="A649" t="s">
        <v>1021</v>
      </c>
      <c r="B649" s="672" t="s">
        <v>965</v>
      </c>
      <c r="C649">
        <v>0</v>
      </c>
      <c r="E649" s="675" t="s">
        <v>979</v>
      </c>
      <c r="F649" t="s">
        <v>1054</v>
      </c>
      <c r="G649" s="672" t="s">
        <v>961</v>
      </c>
      <c r="H649">
        <v>1.5960000000000001</v>
      </c>
      <c r="J649" s="1" t="s">
        <v>770</v>
      </c>
      <c r="K649">
        <v>105881669</v>
      </c>
      <c r="L649" s="2">
        <v>43592</v>
      </c>
      <c r="M649">
        <v>21</v>
      </c>
      <c r="N649">
        <v>1</v>
      </c>
      <c r="O649">
        <v>7</v>
      </c>
      <c r="P649">
        <v>1</v>
      </c>
      <c r="Q649" t="s">
        <v>7</v>
      </c>
    </row>
    <row r="650" spans="1:17">
      <c r="A650" t="s">
        <v>1021</v>
      </c>
      <c r="B650" s="672" t="s">
        <v>965</v>
      </c>
      <c r="C650">
        <v>0</v>
      </c>
      <c r="E650" s="675" t="s">
        <v>979</v>
      </c>
      <c r="F650" t="s">
        <v>1054</v>
      </c>
      <c r="G650" s="672" t="s">
        <v>961</v>
      </c>
      <c r="H650">
        <v>1.5960000000000001</v>
      </c>
      <c r="J650" s="1" t="s">
        <v>770</v>
      </c>
      <c r="K650">
        <v>107011023</v>
      </c>
      <c r="L650" s="2">
        <v>44752</v>
      </c>
      <c r="M650">
        <v>21</v>
      </c>
      <c r="N650">
        <v>2</v>
      </c>
      <c r="O650">
        <v>7</v>
      </c>
      <c r="P650">
        <v>1</v>
      </c>
      <c r="Q650" t="s">
        <v>7</v>
      </c>
    </row>
    <row r="651" spans="1:17">
      <c r="A651" t="s">
        <v>1021</v>
      </c>
      <c r="B651" s="672" t="s">
        <v>965</v>
      </c>
      <c r="C651">
        <v>0</v>
      </c>
      <c r="E651" s="675" t="s">
        <v>979</v>
      </c>
      <c r="F651" t="s">
        <v>1054</v>
      </c>
      <c r="G651" s="672" t="s">
        <v>961</v>
      </c>
      <c r="H651">
        <v>1.5960000000000001</v>
      </c>
      <c r="J651" s="1" t="s">
        <v>770</v>
      </c>
      <c r="K651">
        <v>107719790</v>
      </c>
      <c r="L651" s="2">
        <v>45427</v>
      </c>
      <c r="M651">
        <v>21</v>
      </c>
      <c r="N651">
        <v>2</v>
      </c>
      <c r="O651">
        <v>1</v>
      </c>
      <c r="P651">
        <v>1</v>
      </c>
      <c r="Q651" t="s">
        <v>7</v>
      </c>
    </row>
    <row r="652" spans="1:17">
      <c r="A652" t="s">
        <v>1021</v>
      </c>
      <c r="B652" s="672" t="s">
        <v>965</v>
      </c>
      <c r="C652">
        <v>0</v>
      </c>
      <c r="E652" s="675" t="s">
        <v>979</v>
      </c>
      <c r="F652" t="s">
        <v>1054</v>
      </c>
      <c r="G652" s="672" t="s">
        <v>961</v>
      </c>
      <c r="H652">
        <v>1.5960000000000001</v>
      </c>
      <c r="J652" s="1" t="s">
        <v>770</v>
      </c>
      <c r="K652">
        <v>106887096</v>
      </c>
      <c r="L652" s="2">
        <v>44632</v>
      </c>
      <c r="M652">
        <v>23</v>
      </c>
      <c r="N652">
        <v>1</v>
      </c>
      <c r="O652">
        <v>2</v>
      </c>
      <c r="P652">
        <v>1</v>
      </c>
      <c r="Q652" t="s">
        <v>7</v>
      </c>
    </row>
    <row r="653" spans="1:17">
      <c r="A653" t="s">
        <v>1021</v>
      </c>
      <c r="B653" s="672" t="s">
        <v>965</v>
      </c>
      <c r="C653">
        <v>0</v>
      </c>
      <c r="E653" s="675" t="s">
        <v>979</v>
      </c>
      <c r="F653" t="s">
        <v>1054</v>
      </c>
      <c r="G653" s="672" t="s">
        <v>961</v>
      </c>
      <c r="H653">
        <v>1.5960000000000001</v>
      </c>
      <c r="J653" s="1" t="s">
        <v>770</v>
      </c>
      <c r="K653">
        <v>106802326</v>
      </c>
      <c r="L653" s="2">
        <v>44496</v>
      </c>
      <c r="M653">
        <v>30</v>
      </c>
      <c r="N653">
        <v>1</v>
      </c>
      <c r="O653">
        <v>7</v>
      </c>
      <c r="P653">
        <v>1</v>
      </c>
      <c r="Q653" t="s">
        <v>7</v>
      </c>
    </row>
    <row r="654" spans="1:17">
      <c r="A654" t="s">
        <v>1021</v>
      </c>
      <c r="B654" s="672" t="s">
        <v>965</v>
      </c>
      <c r="C654">
        <v>0</v>
      </c>
      <c r="D654" t="s">
        <v>762</v>
      </c>
      <c r="E654" s="675" t="s">
        <v>979</v>
      </c>
      <c r="F654" t="s">
        <v>1054</v>
      </c>
      <c r="G654" s="672" t="s">
        <v>961</v>
      </c>
      <c r="H654">
        <v>1.5960000000000001</v>
      </c>
      <c r="J654" s="1" t="s">
        <v>770</v>
      </c>
      <c r="K654">
        <v>107034777</v>
      </c>
      <c r="L654" s="2">
        <v>44776</v>
      </c>
      <c r="M654">
        <v>30</v>
      </c>
      <c r="N654">
        <v>1</v>
      </c>
      <c r="O654">
        <v>1</v>
      </c>
      <c r="P654">
        <v>1</v>
      </c>
      <c r="Q654" t="s">
        <v>7</v>
      </c>
    </row>
    <row r="655" spans="1:17">
      <c r="A655" t="s">
        <v>1021</v>
      </c>
      <c r="B655" s="672" t="s">
        <v>965</v>
      </c>
      <c r="C655">
        <v>0</v>
      </c>
      <c r="E655" s="675" t="s">
        <v>979</v>
      </c>
      <c r="F655" t="s">
        <v>1054</v>
      </c>
      <c r="G655" s="672" t="s">
        <v>961</v>
      </c>
      <c r="H655">
        <v>1.5960000000000001</v>
      </c>
      <c r="J655" s="1" t="s">
        <v>770</v>
      </c>
      <c r="K655">
        <v>107487853</v>
      </c>
      <c r="L655" s="2">
        <v>45211</v>
      </c>
      <c r="M655">
        <v>30</v>
      </c>
      <c r="N655">
        <v>1</v>
      </c>
      <c r="O655">
        <v>8</v>
      </c>
      <c r="P655">
        <v>1</v>
      </c>
      <c r="Q655" t="s">
        <v>7</v>
      </c>
    </row>
    <row r="656" spans="1:17">
      <c r="A656" t="s">
        <v>1021</v>
      </c>
      <c r="B656" s="672" t="s">
        <v>965</v>
      </c>
      <c r="C656">
        <v>0</v>
      </c>
      <c r="E656" s="675" t="s">
        <v>979</v>
      </c>
      <c r="F656" t="s">
        <v>1054</v>
      </c>
      <c r="G656" s="672" t="s">
        <v>961</v>
      </c>
      <c r="H656">
        <v>1.5960000000000001</v>
      </c>
      <c r="J656" s="1" t="s">
        <v>770</v>
      </c>
      <c r="K656">
        <v>107564795</v>
      </c>
      <c r="L656" s="2">
        <v>45265</v>
      </c>
      <c r="M656">
        <v>30</v>
      </c>
      <c r="N656">
        <v>1</v>
      </c>
      <c r="O656">
        <v>7</v>
      </c>
      <c r="P656">
        <v>1</v>
      </c>
      <c r="Q656" t="s">
        <v>7</v>
      </c>
    </row>
    <row r="657" spans="1:17">
      <c r="A657" t="s">
        <v>1021</v>
      </c>
      <c r="B657" s="672" t="s">
        <v>965</v>
      </c>
      <c r="C657">
        <v>0</v>
      </c>
      <c r="E657" s="675" t="s">
        <v>979</v>
      </c>
      <c r="F657" t="s">
        <v>1054</v>
      </c>
      <c r="G657" s="672" t="s">
        <v>961</v>
      </c>
      <c r="H657">
        <v>1.5960000000000001</v>
      </c>
      <c r="J657" s="1" t="s">
        <v>770</v>
      </c>
      <c r="K657">
        <v>108550627</v>
      </c>
      <c r="L657" s="2">
        <v>46209</v>
      </c>
      <c r="M657">
        <v>31</v>
      </c>
      <c r="N657">
        <v>1</v>
      </c>
      <c r="O657">
        <v>20</v>
      </c>
      <c r="P657">
        <v>1</v>
      </c>
      <c r="Q657" t="s">
        <v>7</v>
      </c>
    </row>
    <row r="658" spans="1:17">
      <c r="A658" t="s">
        <v>1021</v>
      </c>
      <c r="B658" s="672" t="s">
        <v>965</v>
      </c>
      <c r="C658">
        <v>0</v>
      </c>
      <c r="E658" s="675" t="s">
        <v>979</v>
      </c>
      <c r="F658" t="s">
        <v>1071</v>
      </c>
      <c r="G658" s="672" t="s">
        <v>961</v>
      </c>
      <c r="H658">
        <v>1.5960000000000001</v>
      </c>
      <c r="J658" s="1" t="s">
        <v>770</v>
      </c>
      <c r="K658">
        <v>107688138</v>
      </c>
      <c r="L658" s="2">
        <v>45397</v>
      </c>
      <c r="M658">
        <v>30</v>
      </c>
      <c r="N658">
        <v>1</v>
      </c>
      <c r="O658">
        <v>7</v>
      </c>
      <c r="P658">
        <v>1</v>
      </c>
      <c r="Q658" t="s">
        <v>7</v>
      </c>
    </row>
    <row r="659" spans="1:17">
      <c r="A659" t="s">
        <v>1021</v>
      </c>
      <c r="B659" s="672" t="s">
        <v>965</v>
      </c>
      <c r="C659">
        <v>0</v>
      </c>
      <c r="E659" s="675" t="s">
        <v>979</v>
      </c>
      <c r="G659" s="672" t="s">
        <v>961</v>
      </c>
      <c r="H659">
        <v>1.5960000000000001</v>
      </c>
      <c r="J659" s="1" t="s">
        <v>770</v>
      </c>
      <c r="K659">
        <v>108339105</v>
      </c>
      <c r="L659" s="2">
        <v>46007</v>
      </c>
      <c r="M659">
        <v>30</v>
      </c>
      <c r="N659">
        <v>1</v>
      </c>
      <c r="O659">
        <v>0</v>
      </c>
      <c r="P659">
        <v>4</v>
      </c>
      <c r="Q659" t="s">
        <v>7</v>
      </c>
    </row>
    <row r="660" spans="1:17">
      <c r="A660" t="s">
        <v>1021</v>
      </c>
      <c r="B660" s="672" t="s">
        <v>965</v>
      </c>
      <c r="C660">
        <v>1E-3</v>
      </c>
      <c r="D660" t="s">
        <v>756</v>
      </c>
      <c r="E660" s="675" t="s">
        <v>979</v>
      </c>
      <c r="F660" t="s">
        <v>1137</v>
      </c>
      <c r="G660" s="672" t="s">
        <v>961</v>
      </c>
      <c r="H660">
        <v>1.597</v>
      </c>
      <c r="J660" s="1" t="s">
        <v>770</v>
      </c>
      <c r="K660">
        <v>106846544</v>
      </c>
      <c r="L660" s="2">
        <v>44590</v>
      </c>
      <c r="M660">
        <v>21</v>
      </c>
      <c r="N660">
        <v>1</v>
      </c>
      <c r="O660">
        <v>7</v>
      </c>
      <c r="P660">
        <v>4</v>
      </c>
      <c r="Q660" t="s">
        <v>7</v>
      </c>
    </row>
    <row r="661" spans="1:17">
      <c r="A661" t="s">
        <v>1021</v>
      </c>
      <c r="B661" s="672" t="s">
        <v>965</v>
      </c>
      <c r="C661">
        <v>2.8000000000000001E-2</v>
      </c>
      <c r="D661" t="s">
        <v>756</v>
      </c>
      <c r="E661" s="675" t="s">
        <v>979</v>
      </c>
      <c r="F661" t="s">
        <v>1054</v>
      </c>
      <c r="G661" s="672" t="s">
        <v>961</v>
      </c>
      <c r="H661">
        <v>1.6240000000000001</v>
      </c>
      <c r="J661" s="1" t="s">
        <v>770</v>
      </c>
      <c r="K661">
        <v>106521356</v>
      </c>
      <c r="L661" s="2">
        <v>44232</v>
      </c>
      <c r="M661">
        <v>30</v>
      </c>
      <c r="N661">
        <v>2</v>
      </c>
      <c r="P661">
        <v>2</v>
      </c>
      <c r="Q661" t="s">
        <v>7</v>
      </c>
    </row>
    <row r="662" spans="1:17">
      <c r="A662" t="s">
        <v>1021</v>
      </c>
      <c r="B662" s="672" t="s">
        <v>965</v>
      </c>
      <c r="C662">
        <v>2.8000000000000001E-2</v>
      </c>
      <c r="D662" t="s">
        <v>762</v>
      </c>
      <c r="E662" s="675" t="s">
        <v>979</v>
      </c>
      <c r="F662" s="675" t="s">
        <v>979</v>
      </c>
      <c r="G662" s="672" t="s">
        <v>961</v>
      </c>
      <c r="H662">
        <v>1.6240000000000001</v>
      </c>
      <c r="J662" s="1" t="s">
        <v>770</v>
      </c>
      <c r="K662">
        <v>108189366</v>
      </c>
      <c r="L662" s="2">
        <v>45871</v>
      </c>
      <c r="M662">
        <v>21</v>
      </c>
      <c r="N662">
        <v>2</v>
      </c>
      <c r="O662">
        <v>1</v>
      </c>
      <c r="P662">
        <v>1</v>
      </c>
      <c r="Q662" t="s">
        <v>7</v>
      </c>
    </row>
    <row r="663" spans="1:17">
      <c r="A663" t="s">
        <v>1021</v>
      </c>
      <c r="B663" s="672" t="s">
        <v>965</v>
      </c>
      <c r="C663">
        <v>4.1000000000000002E-2</v>
      </c>
      <c r="D663" t="s">
        <v>756</v>
      </c>
      <c r="E663" s="675" t="s">
        <v>979</v>
      </c>
      <c r="F663" t="s">
        <v>1033</v>
      </c>
      <c r="G663" s="672" t="s">
        <v>961</v>
      </c>
      <c r="H663">
        <v>1.637</v>
      </c>
      <c r="J663" s="1" t="s">
        <v>770</v>
      </c>
      <c r="K663">
        <v>107409534</v>
      </c>
      <c r="L663" s="2">
        <v>45136</v>
      </c>
      <c r="M663">
        <v>30</v>
      </c>
      <c r="N663">
        <v>1</v>
      </c>
      <c r="O663">
        <v>0</v>
      </c>
      <c r="P663">
        <v>1</v>
      </c>
      <c r="Q663" t="s">
        <v>3</v>
      </c>
    </row>
    <row r="664" spans="1:17">
      <c r="A664" t="s">
        <v>1021</v>
      </c>
      <c r="B664" s="672" t="s">
        <v>965</v>
      </c>
      <c r="C664">
        <v>5.3999999999999999E-2</v>
      </c>
      <c r="D664" t="s">
        <v>758</v>
      </c>
      <c r="E664" t="s">
        <v>1054</v>
      </c>
      <c r="F664" s="675" t="s">
        <v>979</v>
      </c>
      <c r="G664" s="672" t="s">
        <v>961</v>
      </c>
      <c r="H664">
        <v>1.669</v>
      </c>
      <c r="J664" s="1" t="s">
        <v>770</v>
      </c>
      <c r="K664">
        <v>106271943</v>
      </c>
      <c r="L664" s="2">
        <v>43959</v>
      </c>
      <c r="M664">
        <v>30</v>
      </c>
      <c r="N664">
        <v>2</v>
      </c>
      <c r="O664">
        <v>7</v>
      </c>
      <c r="P664">
        <v>1</v>
      </c>
      <c r="Q664" t="s">
        <v>8</v>
      </c>
    </row>
    <row r="665" spans="1:17">
      <c r="A665" t="s">
        <v>1021</v>
      </c>
      <c r="B665" s="672" t="s">
        <v>965</v>
      </c>
      <c r="C665">
        <v>7.5999999999999998E-2</v>
      </c>
      <c r="D665" t="s">
        <v>762</v>
      </c>
      <c r="E665" s="675" t="s">
        <v>979</v>
      </c>
      <c r="F665" t="s">
        <v>1027</v>
      </c>
      <c r="G665" s="672" t="s">
        <v>961</v>
      </c>
      <c r="H665">
        <v>1.6719999999999999</v>
      </c>
      <c r="J665" s="1" t="s">
        <v>770</v>
      </c>
      <c r="K665">
        <v>108546778</v>
      </c>
      <c r="L665" s="2">
        <v>46204</v>
      </c>
      <c r="M665">
        <v>28</v>
      </c>
      <c r="N665">
        <v>1</v>
      </c>
      <c r="O665">
        <v>0</v>
      </c>
      <c r="P665">
        <v>1</v>
      </c>
      <c r="Q665" t="s">
        <v>7</v>
      </c>
    </row>
    <row r="666" spans="1:17">
      <c r="A666" t="s">
        <v>1021</v>
      </c>
      <c r="B666" s="672" t="s">
        <v>965</v>
      </c>
      <c r="C666">
        <v>7.5999999999999998E-2</v>
      </c>
      <c r="D666" t="s">
        <v>762</v>
      </c>
      <c r="E666" s="675" t="s">
        <v>979</v>
      </c>
      <c r="F666" t="s">
        <v>1054</v>
      </c>
      <c r="G666" s="672" t="s">
        <v>961</v>
      </c>
      <c r="H666">
        <v>1.6719999999999999</v>
      </c>
      <c r="J666" s="1" t="s">
        <v>770</v>
      </c>
      <c r="K666">
        <v>108259953</v>
      </c>
      <c r="L666" s="2">
        <v>45940</v>
      </c>
      <c r="M666">
        <v>21</v>
      </c>
      <c r="N666">
        <v>1</v>
      </c>
      <c r="O666">
        <v>0</v>
      </c>
      <c r="P666">
        <v>1</v>
      </c>
      <c r="Q666" t="s">
        <v>7</v>
      </c>
    </row>
    <row r="667" spans="1:17">
      <c r="A667" t="s">
        <v>1021</v>
      </c>
      <c r="B667" s="672" t="s">
        <v>965</v>
      </c>
      <c r="C667">
        <v>3.2000000000000001E-2</v>
      </c>
      <c r="D667" t="s">
        <v>765</v>
      </c>
      <c r="E667" t="s">
        <v>1054</v>
      </c>
      <c r="F667" s="675" t="s">
        <v>979</v>
      </c>
      <c r="G667" s="672" t="s">
        <v>961</v>
      </c>
      <c r="H667">
        <v>1.6910000000000001</v>
      </c>
      <c r="J667" s="1" t="s">
        <v>770</v>
      </c>
      <c r="K667">
        <v>108226112</v>
      </c>
      <c r="L667" s="2">
        <v>45910</v>
      </c>
      <c r="M667">
        <v>28</v>
      </c>
      <c r="N667">
        <v>1</v>
      </c>
      <c r="O667">
        <v>0</v>
      </c>
      <c r="P667">
        <v>2</v>
      </c>
      <c r="Q667" t="s">
        <v>7</v>
      </c>
    </row>
    <row r="668" spans="1:17">
      <c r="A668" t="s">
        <v>1021</v>
      </c>
      <c r="B668" s="672" t="s">
        <v>965</v>
      </c>
      <c r="C668">
        <v>8.9999999999999993E-3</v>
      </c>
      <c r="D668" t="s">
        <v>758</v>
      </c>
      <c r="E668" t="s">
        <v>1054</v>
      </c>
      <c r="F668" s="675" t="s">
        <v>979</v>
      </c>
      <c r="G668" s="672" t="s">
        <v>961</v>
      </c>
      <c r="H668">
        <v>1.714</v>
      </c>
      <c r="J668" s="1" t="s">
        <v>770</v>
      </c>
      <c r="K668">
        <v>105107758</v>
      </c>
      <c r="L668" s="2">
        <v>42863</v>
      </c>
      <c r="M668">
        <v>21</v>
      </c>
      <c r="N668">
        <v>10</v>
      </c>
      <c r="O668">
        <v>0</v>
      </c>
      <c r="P668">
        <v>1</v>
      </c>
      <c r="Q668" t="s">
        <v>7</v>
      </c>
    </row>
    <row r="669" spans="1:17">
      <c r="A669" t="s">
        <v>1021</v>
      </c>
      <c r="B669" s="672" t="s">
        <v>965</v>
      </c>
      <c r="C669">
        <v>3.0000000000000001E-3</v>
      </c>
      <c r="D669" t="s">
        <v>758</v>
      </c>
      <c r="E669" t="s">
        <v>1054</v>
      </c>
      <c r="F669" t="s">
        <v>1052</v>
      </c>
      <c r="G669" s="672" t="s">
        <v>961</v>
      </c>
      <c r="H669">
        <v>1.72</v>
      </c>
      <c r="J669" s="1" t="s">
        <v>770</v>
      </c>
      <c r="K669">
        <v>107394861</v>
      </c>
      <c r="L669" s="2">
        <v>45120</v>
      </c>
      <c r="M669">
        <v>28</v>
      </c>
      <c r="N669">
        <v>1</v>
      </c>
      <c r="O669">
        <v>2</v>
      </c>
      <c r="P669">
        <v>1</v>
      </c>
      <c r="Q669" t="s">
        <v>7</v>
      </c>
    </row>
    <row r="670" spans="1:17">
      <c r="A670" t="s">
        <v>1021</v>
      </c>
      <c r="B670" t="s">
        <v>1054</v>
      </c>
      <c r="C670">
        <v>0</v>
      </c>
      <c r="E670" s="672" t="s">
        <v>965</v>
      </c>
      <c r="F670" t="s">
        <v>1032</v>
      </c>
      <c r="G670" s="672" t="s">
        <v>961</v>
      </c>
      <c r="H670">
        <v>1.7230000000000001</v>
      </c>
      <c r="J670" s="1" t="s">
        <v>770</v>
      </c>
      <c r="K670">
        <v>105042553</v>
      </c>
      <c r="L670" s="2">
        <v>42796</v>
      </c>
      <c r="M670">
        <v>21</v>
      </c>
      <c r="N670">
        <v>1</v>
      </c>
      <c r="O670">
        <v>8</v>
      </c>
      <c r="P670">
        <v>1</v>
      </c>
      <c r="Q670" t="s">
        <v>7</v>
      </c>
    </row>
    <row r="671" spans="1:17">
      <c r="A671" t="s">
        <v>1021</v>
      </c>
      <c r="B671" t="s">
        <v>1054</v>
      </c>
      <c r="C671">
        <v>0</v>
      </c>
      <c r="E671" s="672" t="s">
        <v>965</v>
      </c>
      <c r="F671" t="s">
        <v>1040</v>
      </c>
      <c r="G671" s="672" t="s">
        <v>961</v>
      </c>
      <c r="H671">
        <v>1.7230000000000001</v>
      </c>
      <c r="J671" s="1" t="s">
        <v>770</v>
      </c>
      <c r="K671">
        <v>108066279</v>
      </c>
      <c r="L671" s="2">
        <v>45749</v>
      </c>
      <c r="M671">
        <v>21</v>
      </c>
      <c r="N671">
        <v>1</v>
      </c>
      <c r="O671">
        <v>8</v>
      </c>
      <c r="P671">
        <v>1</v>
      </c>
      <c r="Q671" t="s">
        <v>7</v>
      </c>
    </row>
    <row r="672" spans="1:17">
      <c r="A672" t="s">
        <v>1021</v>
      </c>
      <c r="B672" t="s">
        <v>1054</v>
      </c>
      <c r="C672">
        <v>0</v>
      </c>
      <c r="E672" s="672" t="s">
        <v>965</v>
      </c>
      <c r="F672" t="s">
        <v>1040</v>
      </c>
      <c r="G672" s="672" t="s">
        <v>961</v>
      </c>
      <c r="H672">
        <v>1.7230000000000001</v>
      </c>
      <c r="J672" s="1" t="s">
        <v>770</v>
      </c>
      <c r="K672">
        <v>108260126</v>
      </c>
      <c r="L672" s="2">
        <v>45940</v>
      </c>
      <c r="M672">
        <v>30</v>
      </c>
      <c r="N672">
        <v>1</v>
      </c>
      <c r="O672">
        <v>8</v>
      </c>
      <c r="P672">
        <v>1</v>
      </c>
      <c r="Q672" t="s">
        <v>7</v>
      </c>
    </row>
    <row r="673" spans="1:17">
      <c r="A673" t="s">
        <v>1021</v>
      </c>
      <c r="B673" s="672" t="s">
        <v>965</v>
      </c>
      <c r="C673">
        <v>0</v>
      </c>
      <c r="D673" t="s">
        <v>6</v>
      </c>
      <c r="E673" t="s">
        <v>1054</v>
      </c>
      <c r="F673" t="s">
        <v>1032</v>
      </c>
      <c r="G673" s="672" t="s">
        <v>961</v>
      </c>
      <c r="H673">
        <v>1.7230000000000001</v>
      </c>
      <c r="J673" s="1" t="s">
        <v>770</v>
      </c>
      <c r="K673">
        <v>107474941</v>
      </c>
      <c r="L673" s="2">
        <v>45201</v>
      </c>
      <c r="M673">
        <v>21</v>
      </c>
      <c r="N673">
        <v>1</v>
      </c>
      <c r="O673">
        <v>0</v>
      </c>
      <c r="P673">
        <v>1</v>
      </c>
      <c r="Q673" t="s">
        <v>7</v>
      </c>
    </row>
    <row r="674" spans="1:17">
      <c r="A674" t="s">
        <v>1021</v>
      </c>
      <c r="B674" s="672" t="s">
        <v>965</v>
      </c>
      <c r="C674">
        <v>0</v>
      </c>
      <c r="E674" t="s">
        <v>1054</v>
      </c>
      <c r="F674" t="s">
        <v>1032</v>
      </c>
      <c r="G674" s="672" t="s">
        <v>961</v>
      </c>
      <c r="H674">
        <v>1.7230000000000001</v>
      </c>
      <c r="J674" s="1" t="s">
        <v>770</v>
      </c>
      <c r="K674">
        <v>107094839</v>
      </c>
      <c r="L674" s="2">
        <v>44833</v>
      </c>
      <c r="M674">
        <v>28</v>
      </c>
      <c r="N674">
        <v>1</v>
      </c>
      <c r="O674">
        <v>0</v>
      </c>
      <c r="P674">
        <v>1</v>
      </c>
      <c r="Q674" t="s">
        <v>7</v>
      </c>
    </row>
    <row r="675" spans="1:17">
      <c r="A675" t="s">
        <v>1021</v>
      </c>
      <c r="B675" s="672" t="s">
        <v>965</v>
      </c>
      <c r="C675">
        <v>0</v>
      </c>
      <c r="D675" t="s">
        <v>757</v>
      </c>
      <c r="E675" t="s">
        <v>1054</v>
      </c>
      <c r="F675" t="s">
        <v>1032</v>
      </c>
      <c r="G675" s="672" t="s">
        <v>961</v>
      </c>
      <c r="H675">
        <v>1.7230000000000001</v>
      </c>
      <c r="J675" s="1" t="s">
        <v>770</v>
      </c>
      <c r="K675">
        <v>107324068</v>
      </c>
      <c r="L675" s="2">
        <v>45050</v>
      </c>
      <c r="M675">
        <v>30</v>
      </c>
      <c r="N675">
        <v>1</v>
      </c>
      <c r="O675">
        <v>8</v>
      </c>
      <c r="P675">
        <v>1</v>
      </c>
      <c r="Q675" t="s">
        <v>7</v>
      </c>
    </row>
    <row r="676" spans="1:17">
      <c r="A676" t="s">
        <v>1021</v>
      </c>
      <c r="B676" s="672" t="s">
        <v>965</v>
      </c>
      <c r="C676">
        <v>5.0000000000000001E-3</v>
      </c>
      <c r="D676" t="s">
        <v>756</v>
      </c>
      <c r="E676" t="s">
        <v>1054</v>
      </c>
      <c r="F676" t="s">
        <v>1032</v>
      </c>
      <c r="G676" s="672" t="s">
        <v>961</v>
      </c>
      <c r="H676">
        <v>1.728</v>
      </c>
      <c r="J676" s="1" t="s">
        <v>770</v>
      </c>
      <c r="K676">
        <v>106211351</v>
      </c>
      <c r="L676" s="2">
        <v>43883</v>
      </c>
      <c r="M676">
        <v>30</v>
      </c>
      <c r="N676">
        <v>1</v>
      </c>
      <c r="O676">
        <v>0</v>
      </c>
      <c r="P676">
        <v>1</v>
      </c>
      <c r="Q676" t="s">
        <v>7</v>
      </c>
    </row>
    <row r="677" spans="1:17">
      <c r="A677" t="s">
        <v>1021</v>
      </c>
      <c r="B677" s="672" t="s">
        <v>965</v>
      </c>
      <c r="C677">
        <v>8.9999999999999993E-3</v>
      </c>
      <c r="D677" t="s">
        <v>756</v>
      </c>
      <c r="E677" t="s">
        <v>1054</v>
      </c>
      <c r="F677" t="s">
        <v>1032</v>
      </c>
      <c r="G677" s="672" t="s">
        <v>961</v>
      </c>
      <c r="H677">
        <v>1.732</v>
      </c>
      <c r="J677" s="1" t="s">
        <v>770</v>
      </c>
      <c r="K677">
        <v>106972617</v>
      </c>
      <c r="L677" s="2">
        <v>44712</v>
      </c>
      <c r="M677">
        <v>21</v>
      </c>
      <c r="N677">
        <v>1</v>
      </c>
      <c r="O677">
        <v>0</v>
      </c>
      <c r="P677">
        <v>1</v>
      </c>
      <c r="Q677" t="s">
        <v>3</v>
      </c>
    </row>
    <row r="678" spans="1:17">
      <c r="A678" t="s">
        <v>1021</v>
      </c>
      <c r="B678" s="672" t="s">
        <v>965</v>
      </c>
      <c r="C678">
        <v>8.9999999999999993E-3</v>
      </c>
      <c r="D678" t="s">
        <v>762</v>
      </c>
      <c r="E678" t="s">
        <v>1054</v>
      </c>
      <c r="F678" t="s">
        <v>1032</v>
      </c>
      <c r="G678" s="672" t="s">
        <v>961</v>
      </c>
      <c r="H678">
        <v>1.732</v>
      </c>
      <c r="J678" s="1" t="s">
        <v>770</v>
      </c>
      <c r="K678">
        <v>107615077</v>
      </c>
      <c r="L678" s="2">
        <v>45327</v>
      </c>
      <c r="M678">
        <v>21</v>
      </c>
      <c r="N678">
        <v>1</v>
      </c>
      <c r="O678">
        <v>0</v>
      </c>
      <c r="P678">
        <v>1</v>
      </c>
      <c r="Q678" t="s">
        <v>7</v>
      </c>
    </row>
    <row r="679" spans="1:17">
      <c r="A679" t="s">
        <v>1021</v>
      </c>
      <c r="B679" s="672" t="s">
        <v>965</v>
      </c>
      <c r="C679">
        <v>8.9999999999999993E-3</v>
      </c>
      <c r="D679" t="s">
        <v>762</v>
      </c>
      <c r="E679" t="s">
        <v>1054</v>
      </c>
      <c r="F679" t="s">
        <v>1032</v>
      </c>
      <c r="G679" s="672" t="s">
        <v>961</v>
      </c>
      <c r="H679">
        <v>1.732</v>
      </c>
      <c r="J679" s="1" t="s">
        <v>770</v>
      </c>
      <c r="K679">
        <v>108538290</v>
      </c>
      <c r="L679" s="2">
        <v>46196</v>
      </c>
      <c r="M679">
        <v>28</v>
      </c>
      <c r="N679">
        <v>1</v>
      </c>
      <c r="O679">
        <v>0</v>
      </c>
      <c r="P679">
        <v>1</v>
      </c>
      <c r="Q679" t="s">
        <v>7</v>
      </c>
    </row>
    <row r="680" spans="1:17">
      <c r="A680" t="s">
        <v>1021</v>
      </c>
      <c r="B680" s="672" t="s">
        <v>965</v>
      </c>
      <c r="C680">
        <v>1.2E-2</v>
      </c>
      <c r="D680" t="s">
        <v>756</v>
      </c>
      <c r="E680" t="s">
        <v>1054</v>
      </c>
      <c r="F680" t="s">
        <v>1032</v>
      </c>
      <c r="G680" s="672" t="s">
        <v>961</v>
      </c>
      <c r="H680">
        <v>1.7350000000000001</v>
      </c>
      <c r="J680" s="1" t="s">
        <v>770</v>
      </c>
      <c r="K680">
        <v>107847003</v>
      </c>
      <c r="L680" s="2">
        <v>45547</v>
      </c>
      <c r="M680">
        <v>24</v>
      </c>
      <c r="N680">
        <v>1</v>
      </c>
      <c r="O680">
        <v>0</v>
      </c>
      <c r="P680">
        <v>1</v>
      </c>
      <c r="Q680" t="s">
        <v>7</v>
      </c>
    </row>
    <row r="681" spans="1:17">
      <c r="A681" t="s">
        <v>1021</v>
      </c>
      <c r="B681" s="672" t="s">
        <v>965</v>
      </c>
      <c r="C681">
        <v>1.9E-2</v>
      </c>
      <c r="D681" t="s">
        <v>762</v>
      </c>
      <c r="E681" t="s">
        <v>1054</v>
      </c>
      <c r="F681" t="s">
        <v>1032</v>
      </c>
      <c r="G681" s="672" t="s">
        <v>961</v>
      </c>
      <c r="H681">
        <v>1.742</v>
      </c>
      <c r="J681" s="1" t="s">
        <v>770</v>
      </c>
      <c r="K681">
        <v>106802460</v>
      </c>
      <c r="L681" s="2">
        <v>44543</v>
      </c>
      <c r="M681">
        <v>30</v>
      </c>
      <c r="N681">
        <v>1</v>
      </c>
      <c r="O681">
        <v>0</v>
      </c>
      <c r="P681">
        <v>2</v>
      </c>
      <c r="Q681" t="s">
        <v>7</v>
      </c>
    </row>
    <row r="682" spans="1:17">
      <c r="A682" t="s">
        <v>1021</v>
      </c>
      <c r="B682" s="672" t="s">
        <v>965</v>
      </c>
      <c r="C682">
        <v>2.4E-2</v>
      </c>
      <c r="D682" t="s">
        <v>756</v>
      </c>
      <c r="E682" t="s">
        <v>1054</v>
      </c>
      <c r="F682" t="s">
        <v>1032</v>
      </c>
      <c r="G682" s="672" t="s">
        <v>961</v>
      </c>
      <c r="H682">
        <v>1.7470000000000001</v>
      </c>
      <c r="J682" s="1" t="s">
        <v>770</v>
      </c>
      <c r="K682">
        <v>105671767</v>
      </c>
      <c r="L682" s="2">
        <v>43399</v>
      </c>
      <c r="M682">
        <v>30</v>
      </c>
      <c r="N682">
        <v>2</v>
      </c>
      <c r="O682">
        <v>0</v>
      </c>
      <c r="P682">
        <v>1</v>
      </c>
      <c r="Q682" t="s">
        <v>7</v>
      </c>
    </row>
    <row r="683" spans="1:17">
      <c r="A683" t="s">
        <v>1021</v>
      </c>
      <c r="B683" s="672" t="s">
        <v>965</v>
      </c>
      <c r="C683">
        <v>3.7999999999999999E-2</v>
      </c>
      <c r="D683" t="s">
        <v>756</v>
      </c>
      <c r="E683" t="s">
        <v>1054</v>
      </c>
      <c r="F683" t="s">
        <v>1032</v>
      </c>
      <c r="G683" s="672" t="s">
        <v>961</v>
      </c>
      <c r="H683">
        <v>1.7609999999999999</v>
      </c>
      <c r="J683" s="1" t="s">
        <v>770</v>
      </c>
      <c r="K683">
        <v>108373250</v>
      </c>
      <c r="L683" s="2">
        <v>46038</v>
      </c>
      <c r="M683">
        <v>30</v>
      </c>
      <c r="N683">
        <v>1</v>
      </c>
      <c r="O683">
        <v>0</v>
      </c>
      <c r="P683">
        <v>1</v>
      </c>
      <c r="Q683" t="s">
        <v>3</v>
      </c>
    </row>
    <row r="684" spans="1:17">
      <c r="A684" t="s">
        <v>1021</v>
      </c>
      <c r="B684" s="672" t="s">
        <v>965</v>
      </c>
      <c r="C684">
        <v>4.7E-2</v>
      </c>
      <c r="D684" t="s">
        <v>762</v>
      </c>
      <c r="E684" t="s">
        <v>1054</v>
      </c>
      <c r="F684" t="s">
        <v>1032</v>
      </c>
      <c r="G684" s="672" t="s">
        <v>961</v>
      </c>
      <c r="H684">
        <v>1.77</v>
      </c>
      <c r="J684" s="1" t="s">
        <v>770</v>
      </c>
      <c r="K684">
        <v>108092197</v>
      </c>
      <c r="L684" s="2">
        <v>45775</v>
      </c>
      <c r="M684">
        <v>24</v>
      </c>
      <c r="N684">
        <v>1</v>
      </c>
      <c r="O684">
        <v>0</v>
      </c>
      <c r="P684">
        <v>1</v>
      </c>
      <c r="Q684" t="s">
        <v>3</v>
      </c>
    </row>
    <row r="685" spans="1:17">
      <c r="A685" t="s">
        <v>1021</v>
      </c>
      <c r="B685" s="672" t="s">
        <v>965</v>
      </c>
      <c r="C685">
        <v>5.1999999999999998E-2</v>
      </c>
      <c r="D685" t="s">
        <v>756</v>
      </c>
      <c r="E685" t="s">
        <v>1054</v>
      </c>
      <c r="F685" t="s">
        <v>1032</v>
      </c>
      <c r="G685" s="672" t="s">
        <v>961</v>
      </c>
      <c r="H685">
        <v>1.7749999999999999</v>
      </c>
      <c r="J685" s="1" t="s">
        <v>770</v>
      </c>
      <c r="K685">
        <v>108192410</v>
      </c>
      <c r="L685" s="2">
        <v>45873</v>
      </c>
      <c r="M685">
        <v>21</v>
      </c>
      <c r="N685">
        <v>1</v>
      </c>
      <c r="O685">
        <v>0</v>
      </c>
      <c r="P685">
        <v>1</v>
      </c>
      <c r="Q685" t="s">
        <v>7</v>
      </c>
    </row>
    <row r="686" spans="1:17">
      <c r="A686" t="s">
        <v>1021</v>
      </c>
      <c r="B686" s="672" t="s">
        <v>965</v>
      </c>
      <c r="C686">
        <v>5.2999999999999999E-2</v>
      </c>
      <c r="D686" t="s">
        <v>756</v>
      </c>
      <c r="E686" t="s">
        <v>1054</v>
      </c>
      <c r="F686" t="s">
        <v>1032</v>
      </c>
      <c r="G686" s="672" t="s">
        <v>961</v>
      </c>
      <c r="H686">
        <v>1.776</v>
      </c>
      <c r="J686" s="1" t="s">
        <v>770</v>
      </c>
      <c r="K686">
        <v>105233224</v>
      </c>
      <c r="L686" s="2">
        <v>42984</v>
      </c>
      <c r="M686">
        <v>23</v>
      </c>
      <c r="N686">
        <v>1</v>
      </c>
      <c r="O686">
        <v>0</v>
      </c>
      <c r="P686">
        <v>1</v>
      </c>
      <c r="Q686" t="s">
        <v>3</v>
      </c>
    </row>
    <row r="687" spans="1:17">
      <c r="A687" t="s">
        <v>1021</v>
      </c>
      <c r="B687" s="672" t="s">
        <v>965</v>
      </c>
      <c r="C687">
        <v>5.3999999999999999E-2</v>
      </c>
      <c r="D687" t="s">
        <v>758</v>
      </c>
      <c r="E687" t="s">
        <v>1032</v>
      </c>
      <c r="F687" t="s">
        <v>1105</v>
      </c>
      <c r="G687" s="672" t="s">
        <v>961</v>
      </c>
      <c r="H687">
        <v>1.7889999999999999</v>
      </c>
      <c r="J687" s="1" t="s">
        <v>770</v>
      </c>
      <c r="K687">
        <v>105941656</v>
      </c>
      <c r="L687" s="2">
        <v>43641</v>
      </c>
      <c r="M687">
        <v>21</v>
      </c>
      <c r="N687">
        <v>1</v>
      </c>
      <c r="O687">
        <v>0</v>
      </c>
      <c r="P687">
        <v>1</v>
      </c>
      <c r="Q687" t="s">
        <v>3</v>
      </c>
    </row>
    <row r="688" spans="1:17">
      <c r="A688" t="s">
        <v>1021</v>
      </c>
      <c r="B688" s="672" t="s">
        <v>965</v>
      </c>
      <c r="C688">
        <v>7.0000000000000007E-2</v>
      </c>
      <c r="D688" t="s">
        <v>756</v>
      </c>
      <c r="E688" t="s">
        <v>1054</v>
      </c>
      <c r="F688" t="s">
        <v>1032</v>
      </c>
      <c r="G688" s="672" t="s">
        <v>961</v>
      </c>
      <c r="H688">
        <v>1.7929999999999999</v>
      </c>
      <c r="J688" s="1" t="s">
        <v>770</v>
      </c>
      <c r="K688">
        <v>106586027</v>
      </c>
      <c r="L688" s="2">
        <v>44287</v>
      </c>
      <c r="M688">
        <v>23</v>
      </c>
      <c r="N688">
        <v>1</v>
      </c>
      <c r="P688">
        <v>1</v>
      </c>
      <c r="Q688" t="s">
        <v>3</v>
      </c>
    </row>
    <row r="689" spans="1:22">
      <c r="A689" t="s">
        <v>1021</v>
      </c>
      <c r="B689" s="672" t="s">
        <v>965</v>
      </c>
      <c r="C689">
        <v>7.0000000000000007E-2</v>
      </c>
      <c r="D689" t="s">
        <v>762</v>
      </c>
      <c r="E689" t="s">
        <v>1054</v>
      </c>
      <c r="F689" t="s">
        <v>1032</v>
      </c>
      <c r="G689" s="672" t="s">
        <v>961</v>
      </c>
      <c r="H689">
        <v>1.7929999999999999</v>
      </c>
      <c r="J689" s="1" t="s">
        <v>770</v>
      </c>
      <c r="K689">
        <v>107618965</v>
      </c>
      <c r="L689" s="2">
        <v>45331</v>
      </c>
      <c r="M689">
        <v>24</v>
      </c>
      <c r="N689">
        <v>1</v>
      </c>
      <c r="O689">
        <v>8</v>
      </c>
      <c r="P689">
        <v>4</v>
      </c>
      <c r="Q689" t="s">
        <v>7</v>
      </c>
    </row>
    <row r="690" spans="1:22">
      <c r="A690" t="s">
        <v>1021</v>
      </c>
      <c r="B690" s="672" t="s">
        <v>965</v>
      </c>
      <c r="C690">
        <v>4.9000000000000002E-2</v>
      </c>
      <c r="D690" t="s">
        <v>758</v>
      </c>
      <c r="E690" t="s">
        <v>1032</v>
      </c>
      <c r="F690" t="s">
        <v>1035</v>
      </c>
      <c r="G690" s="672" t="s">
        <v>961</v>
      </c>
      <c r="H690">
        <v>1.794</v>
      </c>
      <c r="J690" s="1" t="s">
        <v>770</v>
      </c>
      <c r="K690">
        <v>106510050</v>
      </c>
      <c r="L690" s="2">
        <v>44220</v>
      </c>
      <c r="M690">
        <v>1</v>
      </c>
      <c r="N690">
        <v>1</v>
      </c>
      <c r="O690">
        <v>0</v>
      </c>
      <c r="P690">
        <v>4</v>
      </c>
      <c r="Q690" t="s">
        <v>7</v>
      </c>
    </row>
    <row r="691" spans="1:22">
      <c r="A691" t="s">
        <v>1021</v>
      </c>
      <c r="B691" s="672" t="s">
        <v>965</v>
      </c>
      <c r="C691">
        <v>4.5999999999999999E-2</v>
      </c>
      <c r="D691" t="s">
        <v>758</v>
      </c>
      <c r="E691" t="s">
        <v>1032</v>
      </c>
      <c r="F691" t="s">
        <v>1054</v>
      </c>
      <c r="G691" s="672" t="s">
        <v>961</v>
      </c>
      <c r="H691">
        <v>1.7969999999999999</v>
      </c>
      <c r="J691" s="1" t="s">
        <v>770</v>
      </c>
      <c r="K691">
        <v>106372330</v>
      </c>
      <c r="L691" s="2">
        <v>44092</v>
      </c>
      <c r="M691">
        <v>14</v>
      </c>
      <c r="N691">
        <v>1</v>
      </c>
      <c r="P691">
        <v>1</v>
      </c>
      <c r="Q691" t="s">
        <v>8</v>
      </c>
      <c r="R691">
        <v>35.169079000000004</v>
      </c>
      <c r="S691">
        <v>-79.403542000000002</v>
      </c>
      <c r="T691" t="s">
        <v>786</v>
      </c>
      <c r="U691" t="s">
        <v>367</v>
      </c>
      <c r="V691">
        <v>1.5159</v>
      </c>
    </row>
    <row r="692" spans="1:22">
      <c r="A692" t="s">
        <v>1021</v>
      </c>
      <c r="B692" s="672" t="s">
        <v>965</v>
      </c>
      <c r="C692">
        <v>7.3999999999999996E-2</v>
      </c>
      <c r="D692" t="s">
        <v>756</v>
      </c>
      <c r="E692" t="s">
        <v>1054</v>
      </c>
      <c r="F692" t="s">
        <v>1032</v>
      </c>
      <c r="G692" s="672" t="s">
        <v>961</v>
      </c>
      <c r="H692">
        <v>1.7969999999999999</v>
      </c>
      <c r="J692" s="1" t="s">
        <v>770</v>
      </c>
      <c r="K692">
        <v>108215071</v>
      </c>
      <c r="L692" s="2">
        <v>45897</v>
      </c>
      <c r="M692">
        <v>30</v>
      </c>
      <c r="N692">
        <v>1</v>
      </c>
      <c r="O692">
        <v>4</v>
      </c>
      <c r="P692">
        <v>1</v>
      </c>
      <c r="Q692" t="s">
        <v>7</v>
      </c>
    </row>
    <row r="693" spans="1:22">
      <c r="A693" t="s">
        <v>1021</v>
      </c>
      <c r="B693" s="672" t="s">
        <v>965</v>
      </c>
      <c r="C693">
        <v>7.5999999999999998E-2</v>
      </c>
      <c r="D693" t="s">
        <v>756</v>
      </c>
      <c r="E693" t="s">
        <v>1054</v>
      </c>
      <c r="F693" t="s">
        <v>1032</v>
      </c>
      <c r="G693" s="672" t="s">
        <v>961</v>
      </c>
      <c r="H693">
        <v>1.7989999999999999</v>
      </c>
      <c r="J693" s="1" t="s">
        <v>770</v>
      </c>
      <c r="K693">
        <v>107756319</v>
      </c>
      <c r="L693" s="2">
        <v>45461</v>
      </c>
      <c r="M693">
        <v>23</v>
      </c>
      <c r="N693">
        <v>1</v>
      </c>
      <c r="O693">
        <v>0</v>
      </c>
      <c r="P693">
        <v>1</v>
      </c>
      <c r="Q693" t="s">
        <v>7</v>
      </c>
    </row>
    <row r="694" spans="1:22">
      <c r="A694" t="s">
        <v>1021</v>
      </c>
      <c r="B694" s="672" t="s">
        <v>965</v>
      </c>
      <c r="C694">
        <v>4.1000000000000002E-2</v>
      </c>
      <c r="D694" t="s">
        <v>765</v>
      </c>
      <c r="E694" t="s">
        <v>1032</v>
      </c>
      <c r="F694" t="s">
        <v>1054</v>
      </c>
      <c r="G694" s="672" t="s">
        <v>961</v>
      </c>
      <c r="H694">
        <v>1.802</v>
      </c>
      <c r="J694" s="1" t="s">
        <v>770</v>
      </c>
      <c r="K694">
        <v>108466071</v>
      </c>
      <c r="L694" s="2">
        <v>46127</v>
      </c>
      <c r="M694">
        <v>30</v>
      </c>
      <c r="N694">
        <v>1</v>
      </c>
      <c r="O694">
        <v>0</v>
      </c>
      <c r="P694">
        <v>1</v>
      </c>
      <c r="Q694" t="s">
        <v>3</v>
      </c>
    </row>
    <row r="695" spans="1:22">
      <c r="A695" t="s">
        <v>1021</v>
      </c>
      <c r="B695" s="672" t="s">
        <v>965</v>
      </c>
      <c r="C695">
        <v>3.7999999999999999E-2</v>
      </c>
      <c r="D695" t="s">
        <v>758</v>
      </c>
      <c r="E695" t="s">
        <v>1032</v>
      </c>
      <c r="F695" t="s">
        <v>1054</v>
      </c>
      <c r="G695" s="672" t="s">
        <v>961</v>
      </c>
      <c r="H695">
        <v>1.8049999999999999</v>
      </c>
      <c r="J695" s="1" t="s">
        <v>770</v>
      </c>
      <c r="K695">
        <v>106944683</v>
      </c>
      <c r="L695" s="2">
        <v>44686</v>
      </c>
      <c r="M695">
        <v>30</v>
      </c>
      <c r="N695">
        <v>1</v>
      </c>
      <c r="O695">
        <v>8</v>
      </c>
      <c r="P695">
        <v>1</v>
      </c>
      <c r="Q695" t="s">
        <v>7</v>
      </c>
    </row>
    <row r="696" spans="1:22">
      <c r="A696" t="s">
        <v>1021</v>
      </c>
      <c r="B696" s="672" t="s">
        <v>965</v>
      </c>
      <c r="C696">
        <v>3.7999999999999999E-2</v>
      </c>
      <c r="D696" t="s">
        <v>758</v>
      </c>
      <c r="E696" t="s">
        <v>1032</v>
      </c>
      <c r="F696" t="s">
        <v>1054</v>
      </c>
      <c r="G696" s="672" t="s">
        <v>961</v>
      </c>
      <c r="H696">
        <v>1.8049999999999999</v>
      </c>
      <c r="J696" s="1" t="s">
        <v>770</v>
      </c>
      <c r="K696">
        <v>107496325</v>
      </c>
      <c r="L696" s="2">
        <v>45219</v>
      </c>
      <c r="M696">
        <v>30</v>
      </c>
      <c r="N696">
        <v>2</v>
      </c>
      <c r="O696">
        <v>0</v>
      </c>
      <c r="P696">
        <v>1</v>
      </c>
      <c r="Q696" t="s">
        <v>7</v>
      </c>
    </row>
    <row r="697" spans="1:22">
      <c r="A697" t="s">
        <v>1021</v>
      </c>
      <c r="B697" s="672" t="s">
        <v>965</v>
      </c>
      <c r="C697">
        <v>3.7999999999999999E-2</v>
      </c>
      <c r="D697" t="s">
        <v>758</v>
      </c>
      <c r="E697" t="s">
        <v>1032</v>
      </c>
      <c r="F697" s="675" t="s">
        <v>979</v>
      </c>
      <c r="G697" s="672" t="s">
        <v>961</v>
      </c>
      <c r="H697">
        <v>1.8049999999999999</v>
      </c>
      <c r="J697" s="1" t="s">
        <v>770</v>
      </c>
      <c r="K697">
        <v>106802346</v>
      </c>
      <c r="L697" s="2">
        <v>44503</v>
      </c>
      <c r="M697">
        <v>21</v>
      </c>
      <c r="N697">
        <v>1</v>
      </c>
      <c r="O697">
        <v>0</v>
      </c>
      <c r="P697">
        <v>1</v>
      </c>
      <c r="Q697" t="s">
        <v>7</v>
      </c>
    </row>
    <row r="698" spans="1:22">
      <c r="A698" t="s">
        <v>1021</v>
      </c>
      <c r="B698" s="672" t="s">
        <v>965</v>
      </c>
      <c r="C698">
        <v>3.1E-2</v>
      </c>
      <c r="D698" t="s">
        <v>758</v>
      </c>
      <c r="E698" t="s">
        <v>1032</v>
      </c>
      <c r="F698" t="s">
        <v>1054</v>
      </c>
      <c r="G698" s="672" t="s">
        <v>961</v>
      </c>
      <c r="H698">
        <v>1.8120000000000001</v>
      </c>
      <c r="J698" s="1" t="s">
        <v>770</v>
      </c>
      <c r="K698">
        <v>108064315</v>
      </c>
      <c r="L698" s="2">
        <v>45747</v>
      </c>
      <c r="M698">
        <v>30</v>
      </c>
      <c r="N698">
        <v>1</v>
      </c>
      <c r="O698">
        <v>8</v>
      </c>
      <c r="P698">
        <v>1</v>
      </c>
      <c r="Q698" t="s">
        <v>7</v>
      </c>
    </row>
    <row r="699" spans="1:22">
      <c r="A699" t="s">
        <v>1021</v>
      </c>
      <c r="B699" s="672" t="s">
        <v>965</v>
      </c>
      <c r="C699">
        <v>2.4E-2</v>
      </c>
      <c r="D699" t="s">
        <v>758</v>
      </c>
      <c r="E699" t="s">
        <v>1032</v>
      </c>
      <c r="F699" t="s">
        <v>1054</v>
      </c>
      <c r="G699" s="672" t="s">
        <v>961</v>
      </c>
      <c r="H699">
        <v>1.819</v>
      </c>
      <c r="J699" s="1" t="s">
        <v>770</v>
      </c>
      <c r="K699">
        <v>106891012</v>
      </c>
      <c r="L699" s="2">
        <v>44636</v>
      </c>
      <c r="M699">
        <v>30</v>
      </c>
      <c r="N699">
        <v>1</v>
      </c>
      <c r="O699">
        <v>25</v>
      </c>
      <c r="P699">
        <v>1</v>
      </c>
      <c r="Q699" t="s">
        <v>3</v>
      </c>
    </row>
    <row r="700" spans="1:22">
      <c r="A700" t="s">
        <v>1021</v>
      </c>
      <c r="B700" s="672" t="s">
        <v>965</v>
      </c>
      <c r="C700">
        <v>1.9E-2</v>
      </c>
      <c r="D700" t="s">
        <v>758</v>
      </c>
      <c r="E700" t="s">
        <v>1032</v>
      </c>
      <c r="F700" t="s">
        <v>1054</v>
      </c>
      <c r="G700" s="672" t="s">
        <v>961</v>
      </c>
      <c r="H700">
        <v>1.8240000000000001</v>
      </c>
      <c r="J700" s="1" t="s">
        <v>770</v>
      </c>
      <c r="K700">
        <v>108170643</v>
      </c>
      <c r="L700" s="2">
        <v>45852</v>
      </c>
      <c r="M700">
        <v>21</v>
      </c>
      <c r="N700">
        <v>1</v>
      </c>
      <c r="O700">
        <v>0</v>
      </c>
      <c r="P700">
        <v>1</v>
      </c>
      <c r="Q700" t="s">
        <v>7</v>
      </c>
    </row>
    <row r="701" spans="1:22">
      <c r="A701" t="s">
        <v>1021</v>
      </c>
      <c r="B701" s="672" t="s">
        <v>965</v>
      </c>
      <c r="C701">
        <v>1.9E-2</v>
      </c>
      <c r="D701" t="s">
        <v>758</v>
      </c>
      <c r="E701" t="s">
        <v>1032</v>
      </c>
      <c r="F701" t="s">
        <v>1054</v>
      </c>
      <c r="G701" s="672" t="s">
        <v>961</v>
      </c>
      <c r="H701">
        <v>1.8240000000000001</v>
      </c>
      <c r="J701" s="1" t="s">
        <v>770</v>
      </c>
      <c r="K701">
        <v>106980804</v>
      </c>
      <c r="L701" s="2">
        <v>44719</v>
      </c>
      <c r="M701">
        <v>30</v>
      </c>
      <c r="N701">
        <v>1</v>
      </c>
      <c r="O701">
        <v>8</v>
      </c>
      <c r="P701">
        <v>1</v>
      </c>
      <c r="Q701" t="s">
        <v>7</v>
      </c>
    </row>
    <row r="702" spans="1:22">
      <c r="A702" t="s">
        <v>1021</v>
      </c>
      <c r="B702" s="672" t="s">
        <v>965</v>
      </c>
      <c r="C702">
        <v>1.9E-2</v>
      </c>
      <c r="D702" t="s">
        <v>765</v>
      </c>
      <c r="E702" t="s">
        <v>1032</v>
      </c>
      <c r="F702" t="s">
        <v>1054</v>
      </c>
      <c r="G702" s="672" t="s">
        <v>961</v>
      </c>
      <c r="H702">
        <v>1.8240000000000001</v>
      </c>
      <c r="J702" s="1" t="s">
        <v>770</v>
      </c>
      <c r="K702">
        <v>108055389</v>
      </c>
      <c r="L702" s="2">
        <v>45737</v>
      </c>
      <c r="M702">
        <v>30</v>
      </c>
      <c r="N702">
        <v>1</v>
      </c>
      <c r="O702">
        <v>0</v>
      </c>
      <c r="P702">
        <v>1</v>
      </c>
      <c r="Q702" t="s">
        <v>7</v>
      </c>
    </row>
    <row r="703" spans="1:22">
      <c r="A703" t="s">
        <v>1021</v>
      </c>
      <c r="B703" s="672" t="s">
        <v>965</v>
      </c>
      <c r="C703">
        <v>1.6E-2</v>
      </c>
      <c r="D703" t="s">
        <v>765</v>
      </c>
      <c r="E703" t="s">
        <v>1032</v>
      </c>
      <c r="F703" t="s">
        <v>1054</v>
      </c>
      <c r="G703" s="672" t="s">
        <v>961</v>
      </c>
      <c r="H703">
        <v>1.827</v>
      </c>
      <c r="J703" s="1" t="s">
        <v>770</v>
      </c>
      <c r="K703">
        <v>108245396</v>
      </c>
      <c r="L703" s="2">
        <v>45927</v>
      </c>
      <c r="M703">
        <v>30</v>
      </c>
      <c r="N703">
        <v>1</v>
      </c>
      <c r="O703">
        <v>7</v>
      </c>
      <c r="P703">
        <v>1</v>
      </c>
      <c r="Q703" t="s">
        <v>7</v>
      </c>
    </row>
    <row r="704" spans="1:22">
      <c r="A704" t="s">
        <v>1021</v>
      </c>
      <c r="B704" s="672" t="s">
        <v>965</v>
      </c>
      <c r="C704">
        <v>1.4E-2</v>
      </c>
      <c r="D704" t="s">
        <v>758</v>
      </c>
      <c r="E704" t="s">
        <v>1032</v>
      </c>
      <c r="F704" s="675" t="s">
        <v>979</v>
      </c>
      <c r="G704" s="672" t="s">
        <v>961</v>
      </c>
      <c r="H704">
        <v>1.829</v>
      </c>
      <c r="J704" s="1" t="s">
        <v>770</v>
      </c>
      <c r="K704">
        <v>105007255</v>
      </c>
      <c r="L704" s="2">
        <v>42748</v>
      </c>
      <c r="M704">
        <v>30</v>
      </c>
      <c r="N704">
        <v>1</v>
      </c>
      <c r="O704">
        <v>0</v>
      </c>
      <c r="P704">
        <v>1</v>
      </c>
      <c r="Q704" t="s">
        <v>7</v>
      </c>
    </row>
    <row r="705" spans="1:17">
      <c r="A705" t="s">
        <v>1021</v>
      </c>
      <c r="B705" s="672" t="s">
        <v>965</v>
      </c>
      <c r="C705">
        <v>8.9999999999999993E-3</v>
      </c>
      <c r="D705" t="s">
        <v>758</v>
      </c>
      <c r="E705" t="s">
        <v>1032</v>
      </c>
      <c r="F705" t="s">
        <v>1033</v>
      </c>
      <c r="G705" s="672" t="s">
        <v>961</v>
      </c>
      <c r="H705">
        <v>1.8340000000000001</v>
      </c>
      <c r="J705" s="1" t="s">
        <v>770</v>
      </c>
      <c r="K705">
        <v>105589781</v>
      </c>
      <c r="L705" s="2">
        <v>43336</v>
      </c>
      <c r="M705">
        <v>30</v>
      </c>
      <c r="N705">
        <v>1</v>
      </c>
      <c r="O705">
        <v>0</v>
      </c>
      <c r="P705">
        <v>1</v>
      </c>
      <c r="Q705" t="s">
        <v>7</v>
      </c>
    </row>
    <row r="706" spans="1:17">
      <c r="A706" t="s">
        <v>1021</v>
      </c>
      <c r="B706" s="672" t="s">
        <v>965</v>
      </c>
      <c r="C706">
        <v>8.9999999999999993E-3</v>
      </c>
      <c r="D706" t="s">
        <v>757</v>
      </c>
      <c r="E706" t="s">
        <v>1032</v>
      </c>
      <c r="F706" t="s">
        <v>1071</v>
      </c>
      <c r="G706" s="672" t="s">
        <v>961</v>
      </c>
      <c r="H706">
        <v>1.8340000000000001</v>
      </c>
      <c r="J706" s="1" t="s">
        <v>770</v>
      </c>
      <c r="K706">
        <v>108170642</v>
      </c>
      <c r="L706" s="2">
        <v>45852</v>
      </c>
      <c r="M706">
        <v>30</v>
      </c>
      <c r="N706">
        <v>1</v>
      </c>
      <c r="O706">
        <v>0</v>
      </c>
      <c r="P706">
        <v>1</v>
      </c>
      <c r="Q706" t="s">
        <v>7</v>
      </c>
    </row>
    <row r="707" spans="1:17">
      <c r="A707" t="s">
        <v>1021</v>
      </c>
      <c r="B707" s="672" t="s">
        <v>965</v>
      </c>
      <c r="C707">
        <v>5.7000000000000002E-2</v>
      </c>
      <c r="D707" t="s">
        <v>758</v>
      </c>
      <c r="E707" t="s">
        <v>1035</v>
      </c>
      <c r="F707" t="s">
        <v>1032</v>
      </c>
      <c r="G707" s="672" t="s">
        <v>961</v>
      </c>
      <c r="H707">
        <v>1.8360000000000001</v>
      </c>
      <c r="J707" s="1" t="s">
        <v>770</v>
      </c>
      <c r="K707">
        <v>106802066</v>
      </c>
      <c r="L707" s="2">
        <v>44362</v>
      </c>
      <c r="M707">
        <v>21</v>
      </c>
      <c r="N707">
        <v>1</v>
      </c>
      <c r="O707">
        <v>0</v>
      </c>
      <c r="P707">
        <v>1</v>
      </c>
      <c r="Q707" t="s">
        <v>3</v>
      </c>
    </row>
    <row r="708" spans="1:17">
      <c r="A708" t="s">
        <v>1021</v>
      </c>
      <c r="B708" s="672" t="s">
        <v>965</v>
      </c>
      <c r="C708">
        <v>0</v>
      </c>
      <c r="E708" t="s">
        <v>1032</v>
      </c>
      <c r="F708" t="s">
        <v>1079</v>
      </c>
      <c r="G708" s="672" t="s">
        <v>961</v>
      </c>
      <c r="H708">
        <v>1.843</v>
      </c>
      <c r="J708" s="1" t="s">
        <v>770</v>
      </c>
      <c r="K708">
        <v>105277891</v>
      </c>
      <c r="L708" s="2">
        <v>43008</v>
      </c>
      <c r="M708">
        <v>30</v>
      </c>
      <c r="N708">
        <v>1</v>
      </c>
      <c r="O708">
        <v>7</v>
      </c>
      <c r="P708">
        <v>1</v>
      </c>
      <c r="Q708" t="s">
        <v>7</v>
      </c>
    </row>
    <row r="709" spans="1:17">
      <c r="A709" t="s">
        <v>1021</v>
      </c>
      <c r="B709" s="672" t="s">
        <v>965</v>
      </c>
      <c r="C709">
        <v>0</v>
      </c>
      <c r="E709" t="s">
        <v>1032</v>
      </c>
      <c r="F709" t="s">
        <v>1033</v>
      </c>
      <c r="G709" s="672" t="s">
        <v>961</v>
      </c>
      <c r="H709">
        <v>1.843</v>
      </c>
      <c r="J709" s="1" t="s">
        <v>770</v>
      </c>
      <c r="K709">
        <v>106805830</v>
      </c>
      <c r="L709" s="2">
        <v>44547</v>
      </c>
      <c r="M709">
        <v>21</v>
      </c>
      <c r="N709">
        <v>1</v>
      </c>
      <c r="O709">
        <v>7</v>
      </c>
      <c r="P709">
        <v>2</v>
      </c>
      <c r="Q709" t="s">
        <v>7</v>
      </c>
    </row>
    <row r="710" spans="1:17">
      <c r="A710" t="s">
        <v>1021</v>
      </c>
      <c r="B710" s="672" t="s">
        <v>965</v>
      </c>
      <c r="C710">
        <v>0</v>
      </c>
      <c r="E710" t="s">
        <v>1032</v>
      </c>
      <c r="F710" t="s">
        <v>1033</v>
      </c>
      <c r="G710" s="672" t="s">
        <v>961</v>
      </c>
      <c r="H710">
        <v>1.843</v>
      </c>
      <c r="J710" s="1" t="s">
        <v>770</v>
      </c>
      <c r="K710">
        <v>108273805</v>
      </c>
      <c r="L710" s="2">
        <v>45952</v>
      </c>
      <c r="M710">
        <v>23</v>
      </c>
      <c r="N710">
        <v>1</v>
      </c>
      <c r="O710">
        <v>7</v>
      </c>
      <c r="P710">
        <v>1</v>
      </c>
      <c r="Q710" t="s">
        <v>8</v>
      </c>
    </row>
    <row r="711" spans="1:17">
      <c r="A711" t="s">
        <v>1021</v>
      </c>
      <c r="B711" s="672" t="s">
        <v>965</v>
      </c>
      <c r="C711">
        <v>0</v>
      </c>
      <c r="D711" t="s">
        <v>756</v>
      </c>
      <c r="E711" t="s">
        <v>1032</v>
      </c>
      <c r="F711" t="s">
        <v>1033</v>
      </c>
      <c r="G711" s="672" t="s">
        <v>961</v>
      </c>
      <c r="H711">
        <v>1.843</v>
      </c>
      <c r="J711" s="1" t="s">
        <v>770</v>
      </c>
      <c r="K711">
        <v>105107757</v>
      </c>
      <c r="L711" s="2">
        <v>42863</v>
      </c>
      <c r="M711">
        <v>30</v>
      </c>
      <c r="N711">
        <v>1</v>
      </c>
      <c r="O711">
        <v>7</v>
      </c>
      <c r="P711">
        <v>1</v>
      </c>
      <c r="Q711" t="s">
        <v>7</v>
      </c>
    </row>
    <row r="712" spans="1:17">
      <c r="A712" t="s">
        <v>1021</v>
      </c>
      <c r="B712" s="672" t="s">
        <v>965</v>
      </c>
      <c r="C712">
        <v>0</v>
      </c>
      <c r="E712" t="s">
        <v>1032</v>
      </c>
      <c r="F712" t="s">
        <v>1033</v>
      </c>
      <c r="G712" s="672" t="s">
        <v>961</v>
      </c>
      <c r="H712">
        <v>1.843</v>
      </c>
      <c r="J712" s="1" t="s">
        <v>770</v>
      </c>
      <c r="K712">
        <v>105257896</v>
      </c>
      <c r="L712" s="2">
        <v>43011</v>
      </c>
      <c r="M712">
        <v>30</v>
      </c>
      <c r="N712">
        <v>1</v>
      </c>
      <c r="O712">
        <v>7</v>
      </c>
      <c r="P712">
        <v>1</v>
      </c>
      <c r="Q712" t="s">
        <v>3</v>
      </c>
    </row>
    <row r="713" spans="1:17">
      <c r="A713" t="s">
        <v>1021</v>
      </c>
      <c r="B713" s="672" t="s">
        <v>965</v>
      </c>
      <c r="C713">
        <v>0</v>
      </c>
      <c r="E713" t="s">
        <v>1032</v>
      </c>
      <c r="F713" t="s">
        <v>1033</v>
      </c>
      <c r="G713" s="672" t="s">
        <v>961</v>
      </c>
      <c r="H713">
        <v>1.843</v>
      </c>
      <c r="J713" s="1" t="s">
        <v>770</v>
      </c>
      <c r="K713">
        <v>107150023</v>
      </c>
      <c r="L713" s="2">
        <v>44877</v>
      </c>
      <c r="M713">
        <v>30</v>
      </c>
      <c r="N713">
        <v>1</v>
      </c>
      <c r="O713">
        <v>7</v>
      </c>
      <c r="P713">
        <v>1</v>
      </c>
      <c r="Q713" t="s">
        <v>7</v>
      </c>
    </row>
    <row r="714" spans="1:17">
      <c r="A714" t="s">
        <v>1021</v>
      </c>
      <c r="B714" s="672" t="s">
        <v>965</v>
      </c>
      <c r="C714">
        <v>0</v>
      </c>
      <c r="E714" t="s">
        <v>1032</v>
      </c>
      <c r="F714" t="s">
        <v>1033</v>
      </c>
      <c r="G714" s="672" t="s">
        <v>961</v>
      </c>
      <c r="H714">
        <v>1.843</v>
      </c>
      <c r="J714" s="1" t="s">
        <v>770</v>
      </c>
      <c r="K714">
        <v>107367831</v>
      </c>
      <c r="L714" s="2">
        <v>45093</v>
      </c>
      <c r="M714">
        <v>30</v>
      </c>
      <c r="N714">
        <v>1</v>
      </c>
      <c r="O714">
        <v>7</v>
      </c>
      <c r="P714">
        <v>1</v>
      </c>
      <c r="Q714" t="s">
        <v>3</v>
      </c>
    </row>
    <row r="715" spans="1:17">
      <c r="A715" t="s">
        <v>1021</v>
      </c>
      <c r="B715" s="672" t="s">
        <v>965</v>
      </c>
      <c r="C715">
        <v>0.1</v>
      </c>
      <c r="E715" t="s">
        <v>1032</v>
      </c>
      <c r="F715" t="s">
        <v>1025</v>
      </c>
      <c r="G715" s="672" t="s">
        <v>961</v>
      </c>
      <c r="H715">
        <v>1.843</v>
      </c>
      <c r="I715" t="s">
        <v>61</v>
      </c>
      <c r="J715" s="1" t="s">
        <v>770</v>
      </c>
      <c r="K715">
        <v>106802210</v>
      </c>
      <c r="L715" s="2">
        <v>44435</v>
      </c>
      <c r="M715">
        <v>21</v>
      </c>
      <c r="N715">
        <v>1</v>
      </c>
      <c r="O715">
        <v>7</v>
      </c>
      <c r="P715">
        <v>1</v>
      </c>
      <c r="Q715" t="s">
        <v>7</v>
      </c>
    </row>
    <row r="716" spans="1:17">
      <c r="A716" t="s">
        <v>1021</v>
      </c>
      <c r="B716" s="672" t="s">
        <v>965</v>
      </c>
      <c r="C716">
        <v>0</v>
      </c>
      <c r="E716" t="s">
        <v>1032</v>
      </c>
      <c r="F716" t="s">
        <v>1040</v>
      </c>
      <c r="G716" s="672" t="s">
        <v>961</v>
      </c>
      <c r="H716">
        <v>1.843</v>
      </c>
      <c r="J716" s="1" t="s">
        <v>770</v>
      </c>
      <c r="K716">
        <v>105823342</v>
      </c>
      <c r="L716" s="2">
        <v>43542</v>
      </c>
      <c r="M716">
        <v>23</v>
      </c>
      <c r="N716">
        <v>1</v>
      </c>
      <c r="O716">
        <v>7</v>
      </c>
      <c r="P716">
        <v>1</v>
      </c>
      <c r="Q716" t="s">
        <v>3</v>
      </c>
    </row>
    <row r="717" spans="1:17">
      <c r="A717" t="s">
        <v>1021</v>
      </c>
      <c r="B717" s="672" t="s">
        <v>965</v>
      </c>
      <c r="C717">
        <v>0</v>
      </c>
      <c r="E717" t="s">
        <v>1032</v>
      </c>
      <c r="F717" t="s">
        <v>1054</v>
      </c>
      <c r="G717" s="672" t="s">
        <v>961</v>
      </c>
      <c r="H717">
        <v>1.843</v>
      </c>
      <c r="J717" s="1" t="s">
        <v>770</v>
      </c>
      <c r="K717">
        <v>105277883</v>
      </c>
      <c r="L717" s="2">
        <v>43022</v>
      </c>
      <c r="M717">
        <v>21</v>
      </c>
      <c r="N717">
        <v>1</v>
      </c>
      <c r="O717">
        <v>7</v>
      </c>
      <c r="P717">
        <v>1</v>
      </c>
      <c r="Q717" t="s">
        <v>7</v>
      </c>
    </row>
    <row r="718" spans="1:17">
      <c r="A718" t="s">
        <v>1021</v>
      </c>
      <c r="B718" s="672" t="s">
        <v>965</v>
      </c>
      <c r="C718">
        <v>0</v>
      </c>
      <c r="E718" t="s">
        <v>1032</v>
      </c>
      <c r="F718" t="s">
        <v>1054</v>
      </c>
      <c r="G718" s="672" t="s">
        <v>961</v>
      </c>
      <c r="H718">
        <v>1.843</v>
      </c>
      <c r="J718" s="1" t="s">
        <v>770</v>
      </c>
      <c r="K718">
        <v>107121939</v>
      </c>
      <c r="L718" s="2">
        <v>44859</v>
      </c>
      <c r="M718">
        <v>23</v>
      </c>
      <c r="N718">
        <v>1</v>
      </c>
      <c r="O718">
        <v>7</v>
      </c>
      <c r="P718">
        <v>1</v>
      </c>
      <c r="Q718" t="s">
        <v>7</v>
      </c>
    </row>
    <row r="719" spans="1:17">
      <c r="A719" t="s">
        <v>1021</v>
      </c>
      <c r="B719" s="672" t="s">
        <v>965</v>
      </c>
      <c r="C719">
        <v>0</v>
      </c>
      <c r="D719" t="s">
        <v>758</v>
      </c>
      <c r="E719" t="s">
        <v>1032</v>
      </c>
      <c r="F719" t="s">
        <v>1054</v>
      </c>
      <c r="G719" s="672" t="s">
        <v>961</v>
      </c>
      <c r="H719">
        <v>1.843</v>
      </c>
      <c r="J719" s="1" t="s">
        <v>770</v>
      </c>
      <c r="K719">
        <v>105042569</v>
      </c>
      <c r="L719" s="2">
        <v>42805</v>
      </c>
      <c r="M719">
        <v>30</v>
      </c>
      <c r="N719">
        <v>1</v>
      </c>
      <c r="O719">
        <v>7</v>
      </c>
      <c r="P719">
        <v>1</v>
      </c>
      <c r="Q719" t="s">
        <v>7</v>
      </c>
    </row>
    <row r="720" spans="1:17">
      <c r="A720" t="s">
        <v>1021</v>
      </c>
      <c r="B720" s="672" t="s">
        <v>965</v>
      </c>
      <c r="C720">
        <v>0</v>
      </c>
      <c r="E720" t="s">
        <v>1032</v>
      </c>
      <c r="F720" t="s">
        <v>1054</v>
      </c>
      <c r="G720" s="672" t="s">
        <v>961</v>
      </c>
      <c r="H720">
        <v>1.843</v>
      </c>
      <c r="J720" s="1" t="s">
        <v>770</v>
      </c>
      <c r="K720">
        <v>106832361</v>
      </c>
      <c r="L720" s="2">
        <v>44576</v>
      </c>
      <c r="M720">
        <v>30</v>
      </c>
      <c r="N720">
        <v>1</v>
      </c>
      <c r="O720">
        <v>7</v>
      </c>
      <c r="P720">
        <v>1</v>
      </c>
      <c r="Q720" t="s">
        <v>7</v>
      </c>
    </row>
    <row r="721" spans="1:17">
      <c r="A721" t="s">
        <v>1021</v>
      </c>
      <c r="B721" s="672" t="s">
        <v>965</v>
      </c>
      <c r="C721">
        <v>0</v>
      </c>
      <c r="E721" t="s">
        <v>1032</v>
      </c>
      <c r="F721" t="s">
        <v>1054</v>
      </c>
      <c r="G721" s="672" t="s">
        <v>961</v>
      </c>
      <c r="H721">
        <v>1.843</v>
      </c>
      <c r="J721" s="1" t="s">
        <v>770</v>
      </c>
      <c r="K721">
        <v>108249614</v>
      </c>
      <c r="L721" s="2">
        <v>45931</v>
      </c>
      <c r="M721">
        <v>30</v>
      </c>
      <c r="N721">
        <v>1</v>
      </c>
      <c r="O721">
        <v>7</v>
      </c>
      <c r="P721">
        <v>1</v>
      </c>
      <c r="Q721" t="s">
        <v>7</v>
      </c>
    </row>
    <row r="722" spans="1:17">
      <c r="A722" t="s">
        <v>1021</v>
      </c>
      <c r="B722" s="672" t="s">
        <v>965</v>
      </c>
      <c r="C722">
        <v>0</v>
      </c>
      <c r="D722" t="s">
        <v>756</v>
      </c>
      <c r="E722" t="s">
        <v>1032</v>
      </c>
      <c r="F722" t="s">
        <v>1035</v>
      </c>
      <c r="G722" s="672" t="s">
        <v>961</v>
      </c>
      <c r="H722">
        <v>1.843</v>
      </c>
      <c r="J722" s="1" t="s">
        <v>770</v>
      </c>
      <c r="K722">
        <v>106186243</v>
      </c>
      <c r="L722" s="2">
        <v>43846</v>
      </c>
      <c r="M722">
        <v>30</v>
      </c>
      <c r="N722">
        <v>1</v>
      </c>
      <c r="O722">
        <v>7</v>
      </c>
      <c r="P722">
        <v>2</v>
      </c>
      <c r="Q722" t="s">
        <v>7</v>
      </c>
    </row>
    <row r="723" spans="1:17">
      <c r="A723" t="s">
        <v>1021</v>
      </c>
      <c r="B723" s="672" t="s">
        <v>965</v>
      </c>
      <c r="C723">
        <v>0</v>
      </c>
      <c r="E723" t="s">
        <v>1032</v>
      </c>
      <c r="F723" t="s">
        <v>1035</v>
      </c>
      <c r="G723" s="672" t="s">
        <v>961</v>
      </c>
      <c r="H723">
        <v>1.843</v>
      </c>
      <c r="J723" s="1" t="s">
        <v>770</v>
      </c>
      <c r="K723">
        <v>107046295</v>
      </c>
      <c r="L723" s="2">
        <v>44788</v>
      </c>
      <c r="M723">
        <v>30</v>
      </c>
      <c r="N723">
        <v>2</v>
      </c>
      <c r="O723">
        <v>0</v>
      </c>
      <c r="P723">
        <v>1</v>
      </c>
      <c r="Q723" t="s">
        <v>7</v>
      </c>
    </row>
    <row r="724" spans="1:17">
      <c r="A724" t="s">
        <v>1021</v>
      </c>
      <c r="B724" s="672" t="s">
        <v>965</v>
      </c>
      <c r="C724">
        <v>0</v>
      </c>
      <c r="E724" t="s">
        <v>1032</v>
      </c>
      <c r="F724" t="s">
        <v>1071</v>
      </c>
      <c r="G724" s="672" t="s">
        <v>961</v>
      </c>
      <c r="H724">
        <v>1.843</v>
      </c>
      <c r="J724" s="1" t="s">
        <v>770</v>
      </c>
      <c r="K724">
        <v>106064223</v>
      </c>
      <c r="L724" s="2">
        <v>43766</v>
      </c>
      <c r="M724">
        <v>23</v>
      </c>
      <c r="N724">
        <v>1</v>
      </c>
      <c r="O724">
        <v>7</v>
      </c>
      <c r="P724">
        <v>1</v>
      </c>
      <c r="Q724" t="s">
        <v>7</v>
      </c>
    </row>
    <row r="725" spans="1:17">
      <c r="A725" t="s">
        <v>1021</v>
      </c>
      <c r="B725" s="672" t="s">
        <v>965</v>
      </c>
      <c r="C725">
        <v>0</v>
      </c>
      <c r="E725" t="s">
        <v>1032</v>
      </c>
      <c r="F725" t="s">
        <v>1071</v>
      </c>
      <c r="G725" s="672" t="s">
        <v>961</v>
      </c>
      <c r="H725">
        <v>1.843</v>
      </c>
      <c r="J725" s="1" t="s">
        <v>770</v>
      </c>
      <c r="K725">
        <v>105392275</v>
      </c>
      <c r="L725" s="2">
        <v>43133</v>
      </c>
      <c r="M725">
        <v>30</v>
      </c>
      <c r="N725">
        <v>1</v>
      </c>
      <c r="O725">
        <v>7</v>
      </c>
      <c r="P725">
        <v>1</v>
      </c>
      <c r="Q725" t="s">
        <v>3</v>
      </c>
    </row>
    <row r="726" spans="1:17">
      <c r="A726" t="s">
        <v>1021</v>
      </c>
      <c r="B726" s="672" t="s">
        <v>965</v>
      </c>
      <c r="C726">
        <v>0</v>
      </c>
      <c r="E726" t="s">
        <v>1032</v>
      </c>
      <c r="G726" s="672" t="s">
        <v>961</v>
      </c>
      <c r="H726">
        <v>1.843</v>
      </c>
      <c r="J726" s="1" t="s">
        <v>770</v>
      </c>
      <c r="K726">
        <v>106330280</v>
      </c>
      <c r="L726" s="2">
        <v>44040</v>
      </c>
      <c r="M726">
        <v>30</v>
      </c>
      <c r="N726">
        <v>1</v>
      </c>
      <c r="O726">
        <v>7</v>
      </c>
      <c r="P726">
        <v>1</v>
      </c>
      <c r="Q726" t="s">
        <v>7</v>
      </c>
    </row>
    <row r="727" spans="1:17">
      <c r="A727" t="s">
        <v>1021</v>
      </c>
      <c r="B727" s="672" t="s">
        <v>965</v>
      </c>
      <c r="C727">
        <v>0</v>
      </c>
      <c r="D727" t="s">
        <v>764</v>
      </c>
      <c r="E727" t="s">
        <v>1032</v>
      </c>
      <c r="G727" s="672" t="s">
        <v>961</v>
      </c>
      <c r="H727">
        <v>1.843</v>
      </c>
      <c r="J727" s="1" t="s">
        <v>770</v>
      </c>
      <c r="K727">
        <v>106945966</v>
      </c>
      <c r="L727" s="2">
        <v>44688</v>
      </c>
      <c r="M727">
        <v>30</v>
      </c>
      <c r="N727">
        <v>2</v>
      </c>
      <c r="O727">
        <v>7</v>
      </c>
      <c r="P727">
        <v>4</v>
      </c>
      <c r="Q727" t="s">
        <v>3</v>
      </c>
    </row>
    <row r="728" spans="1:17">
      <c r="A728" t="s">
        <v>1021</v>
      </c>
      <c r="B728" s="672" t="s">
        <v>965</v>
      </c>
      <c r="C728">
        <v>0</v>
      </c>
      <c r="E728" t="s">
        <v>1032</v>
      </c>
      <c r="G728" s="672" t="s">
        <v>961</v>
      </c>
      <c r="H728">
        <v>1.843</v>
      </c>
      <c r="J728" s="1" t="s">
        <v>770</v>
      </c>
      <c r="K728">
        <v>107444738</v>
      </c>
      <c r="L728" s="2">
        <v>45169</v>
      </c>
      <c r="M728">
        <v>30</v>
      </c>
      <c r="N728">
        <v>1</v>
      </c>
      <c r="O728">
        <v>7</v>
      </c>
      <c r="P728">
        <v>1</v>
      </c>
      <c r="Q728" t="s">
        <v>8</v>
      </c>
    </row>
    <row r="729" spans="1:17">
      <c r="A729" t="s">
        <v>1021</v>
      </c>
      <c r="B729" s="672" t="s">
        <v>965</v>
      </c>
      <c r="C729">
        <v>8.9999999999999993E-3</v>
      </c>
      <c r="D729" t="s">
        <v>756</v>
      </c>
      <c r="E729" t="s">
        <v>1032</v>
      </c>
      <c r="F729" t="s">
        <v>1033</v>
      </c>
      <c r="G729" s="672" t="s">
        <v>961</v>
      </c>
      <c r="H729">
        <v>1.8520000000000001</v>
      </c>
      <c r="J729" s="1" t="s">
        <v>770</v>
      </c>
      <c r="K729">
        <v>108518939</v>
      </c>
      <c r="L729" s="2">
        <v>46177</v>
      </c>
      <c r="M729">
        <v>21</v>
      </c>
      <c r="N729">
        <v>1</v>
      </c>
      <c r="O729">
        <v>7</v>
      </c>
      <c r="P729">
        <v>1</v>
      </c>
      <c r="Q729" t="s">
        <v>7</v>
      </c>
    </row>
    <row r="730" spans="1:17">
      <c r="A730" t="s">
        <v>1021</v>
      </c>
      <c r="B730" s="672" t="s">
        <v>965</v>
      </c>
      <c r="C730">
        <v>1.7000000000000001E-2</v>
      </c>
      <c r="D730" t="s">
        <v>756</v>
      </c>
      <c r="E730" t="s">
        <v>1032</v>
      </c>
      <c r="F730" t="s">
        <v>1033</v>
      </c>
      <c r="G730" s="672" t="s">
        <v>961</v>
      </c>
      <c r="H730">
        <v>1.86</v>
      </c>
      <c r="J730" s="1" t="s">
        <v>770</v>
      </c>
      <c r="K730">
        <v>107047308</v>
      </c>
      <c r="L730" s="2">
        <v>44789</v>
      </c>
      <c r="M730">
        <v>21</v>
      </c>
      <c r="N730">
        <v>2</v>
      </c>
      <c r="O730">
        <v>0</v>
      </c>
      <c r="P730">
        <v>1</v>
      </c>
      <c r="Q730" t="s">
        <v>7</v>
      </c>
    </row>
    <row r="731" spans="1:17">
      <c r="A731" t="s">
        <v>1021</v>
      </c>
      <c r="B731" s="672" t="s">
        <v>965</v>
      </c>
      <c r="C731">
        <v>1.9E-2</v>
      </c>
      <c r="D731" t="s">
        <v>756</v>
      </c>
      <c r="E731" t="s">
        <v>1032</v>
      </c>
      <c r="F731" t="s">
        <v>1033</v>
      </c>
      <c r="G731" s="672" t="s">
        <v>961</v>
      </c>
      <c r="H731">
        <v>1.8620000000000001</v>
      </c>
      <c r="J731" s="1" t="s">
        <v>770</v>
      </c>
      <c r="K731">
        <v>108287189</v>
      </c>
      <c r="L731" s="2">
        <v>45961</v>
      </c>
      <c r="M731">
        <v>28</v>
      </c>
      <c r="N731">
        <v>1</v>
      </c>
      <c r="O731">
        <v>7</v>
      </c>
      <c r="P731">
        <v>1</v>
      </c>
      <c r="Q731" t="s">
        <v>7</v>
      </c>
    </row>
    <row r="732" spans="1:17">
      <c r="A732" t="s">
        <v>1021</v>
      </c>
      <c r="B732" s="672" t="s">
        <v>965</v>
      </c>
      <c r="C732">
        <v>1.9E-2</v>
      </c>
      <c r="D732" t="s">
        <v>756</v>
      </c>
      <c r="E732" t="s">
        <v>1032</v>
      </c>
      <c r="F732" t="s">
        <v>1033</v>
      </c>
      <c r="G732" s="672" t="s">
        <v>961</v>
      </c>
      <c r="H732">
        <v>1.8620000000000001</v>
      </c>
      <c r="J732" s="1" t="s">
        <v>770</v>
      </c>
      <c r="K732">
        <v>106211353</v>
      </c>
      <c r="L732" s="2">
        <v>43880</v>
      </c>
      <c r="M732">
        <v>30</v>
      </c>
      <c r="N732">
        <v>2</v>
      </c>
      <c r="O732">
        <v>4</v>
      </c>
      <c r="P732">
        <v>1</v>
      </c>
      <c r="Q732" t="s">
        <v>7</v>
      </c>
    </row>
    <row r="733" spans="1:17">
      <c r="A733" t="s">
        <v>1021</v>
      </c>
      <c r="B733" s="672" t="s">
        <v>965</v>
      </c>
      <c r="C733">
        <v>0.02</v>
      </c>
      <c r="D733" t="s">
        <v>756</v>
      </c>
      <c r="E733" t="s">
        <v>1032</v>
      </c>
      <c r="G733" s="672" t="s">
        <v>961</v>
      </c>
      <c r="H733">
        <v>1.863</v>
      </c>
      <c r="J733" s="1" t="s">
        <v>770</v>
      </c>
      <c r="K733">
        <v>107802659</v>
      </c>
      <c r="L733" s="2">
        <v>45503</v>
      </c>
      <c r="M733">
        <v>28</v>
      </c>
      <c r="N733">
        <v>1</v>
      </c>
      <c r="O733">
        <v>0</v>
      </c>
      <c r="P733">
        <v>1</v>
      </c>
      <c r="Q733" t="s">
        <v>7</v>
      </c>
    </row>
    <row r="734" spans="1:17">
      <c r="A734" t="s">
        <v>1021</v>
      </c>
      <c r="B734" s="672" t="s">
        <v>965</v>
      </c>
      <c r="C734">
        <v>2.8000000000000001E-2</v>
      </c>
      <c r="D734" t="s">
        <v>758</v>
      </c>
      <c r="E734" t="s">
        <v>1033</v>
      </c>
      <c r="F734" t="s">
        <v>1032</v>
      </c>
      <c r="G734" s="672" t="s">
        <v>961</v>
      </c>
      <c r="H734">
        <v>1.865</v>
      </c>
      <c r="J734" s="1" t="s">
        <v>770</v>
      </c>
      <c r="K734">
        <v>107500983</v>
      </c>
      <c r="L734" s="2">
        <v>45222</v>
      </c>
      <c r="M734">
        <v>21</v>
      </c>
      <c r="N734">
        <v>1</v>
      </c>
      <c r="O734">
        <v>0</v>
      </c>
      <c r="P734">
        <v>1</v>
      </c>
      <c r="Q734" t="s">
        <v>7</v>
      </c>
    </row>
    <row r="735" spans="1:17">
      <c r="A735" t="s">
        <v>1021</v>
      </c>
      <c r="B735" s="672" t="s">
        <v>965</v>
      </c>
      <c r="C735">
        <v>2.8000000000000001E-2</v>
      </c>
      <c r="D735" t="s">
        <v>758</v>
      </c>
      <c r="E735" t="s">
        <v>1035</v>
      </c>
      <c r="F735" t="s">
        <v>1032</v>
      </c>
      <c r="G735" s="672" t="s">
        <v>961</v>
      </c>
      <c r="H735">
        <v>1.865</v>
      </c>
      <c r="J735" s="1" t="s">
        <v>770</v>
      </c>
      <c r="K735">
        <v>108339173</v>
      </c>
      <c r="L735" s="2">
        <v>46007</v>
      </c>
      <c r="M735">
        <v>21</v>
      </c>
      <c r="N735">
        <v>1</v>
      </c>
      <c r="O735">
        <v>0</v>
      </c>
      <c r="P735">
        <v>1</v>
      </c>
      <c r="Q735" t="s">
        <v>7</v>
      </c>
    </row>
    <row r="736" spans="1:17">
      <c r="A736" t="s">
        <v>1021</v>
      </c>
      <c r="B736" s="672" t="s">
        <v>965</v>
      </c>
      <c r="C736">
        <v>2.3E-2</v>
      </c>
      <c r="D736" t="s">
        <v>758</v>
      </c>
      <c r="E736" t="s">
        <v>1033</v>
      </c>
      <c r="F736" t="s">
        <v>1032</v>
      </c>
      <c r="G736" s="672" t="s">
        <v>961</v>
      </c>
      <c r="H736">
        <v>1.87</v>
      </c>
      <c r="J736" s="1" t="s">
        <v>770</v>
      </c>
      <c r="K736">
        <v>106211404</v>
      </c>
      <c r="L736" s="2">
        <v>43883</v>
      </c>
      <c r="M736">
        <v>21</v>
      </c>
      <c r="N736">
        <v>1</v>
      </c>
      <c r="O736">
        <v>0</v>
      </c>
      <c r="P736">
        <v>1</v>
      </c>
      <c r="Q736" t="s">
        <v>3</v>
      </c>
    </row>
    <row r="737" spans="1:17">
      <c r="A737" t="s">
        <v>1021</v>
      </c>
      <c r="B737" s="672" t="s">
        <v>965</v>
      </c>
      <c r="C737">
        <v>2.8000000000000001E-2</v>
      </c>
      <c r="D737" t="s">
        <v>762</v>
      </c>
      <c r="E737" t="s">
        <v>1032</v>
      </c>
      <c r="F737" t="s">
        <v>1035</v>
      </c>
      <c r="G737" s="672" t="s">
        <v>961</v>
      </c>
      <c r="H737">
        <v>1.871</v>
      </c>
      <c r="J737" s="1" t="s">
        <v>770</v>
      </c>
      <c r="K737">
        <v>107630359</v>
      </c>
      <c r="L737" s="2">
        <v>45343</v>
      </c>
      <c r="M737">
        <v>21</v>
      </c>
      <c r="N737">
        <v>1</v>
      </c>
      <c r="O737">
        <v>0</v>
      </c>
      <c r="P737">
        <v>1</v>
      </c>
      <c r="Q737" t="s">
        <v>7</v>
      </c>
    </row>
    <row r="738" spans="1:17">
      <c r="A738" t="s">
        <v>1021</v>
      </c>
      <c r="B738" s="672" t="s">
        <v>965</v>
      </c>
      <c r="C738">
        <v>1.4999999999999999E-2</v>
      </c>
      <c r="D738" t="s">
        <v>765</v>
      </c>
      <c r="E738" t="s">
        <v>1035</v>
      </c>
      <c r="F738" t="s">
        <v>1032</v>
      </c>
      <c r="G738" s="672" t="s">
        <v>961</v>
      </c>
      <c r="H738">
        <v>1.8779999999999999</v>
      </c>
      <c r="J738" s="1" t="s">
        <v>770</v>
      </c>
      <c r="K738">
        <v>107223243</v>
      </c>
      <c r="L738" s="2">
        <v>44951</v>
      </c>
      <c r="M738">
        <v>21</v>
      </c>
      <c r="N738">
        <v>2</v>
      </c>
      <c r="O738">
        <v>0</v>
      </c>
      <c r="P738">
        <v>1</v>
      </c>
      <c r="Q738" t="s">
        <v>7</v>
      </c>
    </row>
    <row r="739" spans="1:17">
      <c r="A739" t="s">
        <v>1021</v>
      </c>
      <c r="B739" s="672" t="s">
        <v>965</v>
      </c>
      <c r="C739">
        <v>3.7999999999999999E-2</v>
      </c>
      <c r="D739" t="s">
        <v>756</v>
      </c>
      <c r="E739" t="s">
        <v>1032</v>
      </c>
      <c r="F739" t="s">
        <v>1035</v>
      </c>
      <c r="G739" s="672" t="s">
        <v>961</v>
      </c>
      <c r="H739">
        <v>1.881</v>
      </c>
      <c r="J739" s="1" t="s">
        <v>770</v>
      </c>
      <c r="K739">
        <v>107508002</v>
      </c>
      <c r="L739" s="2">
        <v>45133</v>
      </c>
      <c r="M739">
        <v>21</v>
      </c>
      <c r="N739">
        <v>1</v>
      </c>
      <c r="O739">
        <v>0</v>
      </c>
      <c r="P739">
        <v>1</v>
      </c>
      <c r="Q739" t="s">
        <v>7</v>
      </c>
    </row>
    <row r="740" spans="1:17">
      <c r="A740" t="s">
        <v>1021</v>
      </c>
      <c r="B740" s="672" t="s">
        <v>965</v>
      </c>
      <c r="C740">
        <v>0</v>
      </c>
      <c r="E740" t="s">
        <v>1033</v>
      </c>
      <c r="F740" t="s">
        <v>1083</v>
      </c>
      <c r="G740" s="672" t="s">
        <v>961</v>
      </c>
      <c r="H740">
        <v>1.893</v>
      </c>
      <c r="J740" s="1" t="s">
        <v>770</v>
      </c>
      <c r="K740">
        <v>105984049</v>
      </c>
      <c r="L740" s="2">
        <v>43695</v>
      </c>
      <c r="M740">
        <v>23</v>
      </c>
      <c r="N740">
        <v>1</v>
      </c>
      <c r="O740">
        <v>7</v>
      </c>
      <c r="P740">
        <v>1</v>
      </c>
      <c r="Q740" t="s">
        <v>7</v>
      </c>
    </row>
    <row r="741" spans="1:17">
      <c r="A741" t="s">
        <v>1021</v>
      </c>
      <c r="B741" s="672" t="s">
        <v>965</v>
      </c>
      <c r="C741">
        <v>0</v>
      </c>
      <c r="E741" t="s">
        <v>1033</v>
      </c>
      <c r="F741" t="s">
        <v>1032</v>
      </c>
      <c r="G741" s="672" t="s">
        <v>961</v>
      </c>
      <c r="H741">
        <v>1.893</v>
      </c>
      <c r="J741" s="1" t="s">
        <v>770</v>
      </c>
      <c r="K741">
        <v>107445055</v>
      </c>
      <c r="L741" s="2">
        <v>45169</v>
      </c>
      <c r="M741">
        <v>21</v>
      </c>
      <c r="N741">
        <v>1</v>
      </c>
      <c r="O741">
        <v>7</v>
      </c>
      <c r="P741">
        <v>1</v>
      </c>
      <c r="Q741" t="s">
        <v>3</v>
      </c>
    </row>
    <row r="742" spans="1:17">
      <c r="A742" t="s">
        <v>1021</v>
      </c>
      <c r="B742" s="672" t="s">
        <v>965</v>
      </c>
      <c r="C742">
        <v>0</v>
      </c>
      <c r="E742" t="s">
        <v>1033</v>
      </c>
      <c r="F742" t="s">
        <v>1032</v>
      </c>
      <c r="G742" s="672" t="s">
        <v>961</v>
      </c>
      <c r="H742">
        <v>1.893</v>
      </c>
      <c r="J742" s="1" t="s">
        <v>770</v>
      </c>
      <c r="K742">
        <v>105925807</v>
      </c>
      <c r="L742" s="2">
        <v>43637</v>
      </c>
      <c r="M742">
        <v>27</v>
      </c>
      <c r="N742">
        <v>1</v>
      </c>
      <c r="O742">
        <v>7</v>
      </c>
      <c r="P742">
        <v>1</v>
      </c>
      <c r="Q742" t="s">
        <v>8</v>
      </c>
    </row>
    <row r="743" spans="1:17">
      <c r="A743" t="s">
        <v>1021</v>
      </c>
      <c r="B743" s="672" t="s">
        <v>965</v>
      </c>
      <c r="C743">
        <v>0</v>
      </c>
      <c r="E743" t="s">
        <v>1033</v>
      </c>
      <c r="F743" t="s">
        <v>1032</v>
      </c>
      <c r="G743" s="672" t="s">
        <v>961</v>
      </c>
      <c r="H743">
        <v>1.893</v>
      </c>
      <c r="J743" s="1" t="s">
        <v>770</v>
      </c>
      <c r="K743">
        <v>105056723</v>
      </c>
      <c r="L743" s="2">
        <v>42810</v>
      </c>
      <c r="M743">
        <v>30</v>
      </c>
      <c r="N743">
        <v>1</v>
      </c>
      <c r="O743">
        <v>7</v>
      </c>
      <c r="P743">
        <v>1</v>
      </c>
      <c r="Q743" t="s">
        <v>7</v>
      </c>
    </row>
    <row r="744" spans="1:17">
      <c r="A744" t="s">
        <v>1021</v>
      </c>
      <c r="B744" s="672" t="s">
        <v>965</v>
      </c>
      <c r="C744">
        <v>0</v>
      </c>
      <c r="E744" t="s">
        <v>1033</v>
      </c>
      <c r="F744" t="s">
        <v>1025</v>
      </c>
      <c r="G744" s="672" t="s">
        <v>961</v>
      </c>
      <c r="H744">
        <v>1.893</v>
      </c>
      <c r="J744" s="1" t="s">
        <v>770</v>
      </c>
      <c r="K744">
        <v>106125025</v>
      </c>
      <c r="L744" s="2">
        <v>43801</v>
      </c>
      <c r="M744">
        <v>21</v>
      </c>
      <c r="N744">
        <v>1</v>
      </c>
      <c r="O744">
        <v>7</v>
      </c>
      <c r="P744">
        <v>2</v>
      </c>
      <c r="Q744" t="s">
        <v>7</v>
      </c>
    </row>
    <row r="745" spans="1:17">
      <c r="A745" t="s">
        <v>1021</v>
      </c>
      <c r="B745" s="672" t="s">
        <v>965</v>
      </c>
      <c r="C745">
        <v>0</v>
      </c>
      <c r="E745" t="s">
        <v>1033</v>
      </c>
      <c r="F745" t="s">
        <v>1034</v>
      </c>
      <c r="G745" s="672" t="s">
        <v>961</v>
      </c>
      <c r="H745">
        <v>1.893</v>
      </c>
      <c r="J745" s="1" t="s">
        <v>770</v>
      </c>
      <c r="K745">
        <v>108340331</v>
      </c>
      <c r="L745" s="2">
        <v>46008</v>
      </c>
      <c r="M745">
        <v>21</v>
      </c>
      <c r="N745">
        <v>1</v>
      </c>
      <c r="O745">
        <v>7</v>
      </c>
      <c r="P745">
        <v>1</v>
      </c>
      <c r="Q745" t="s">
        <v>7</v>
      </c>
    </row>
    <row r="746" spans="1:17">
      <c r="A746" t="s">
        <v>1021</v>
      </c>
      <c r="B746" s="672" t="s">
        <v>965</v>
      </c>
      <c r="C746">
        <v>0</v>
      </c>
      <c r="E746" t="s">
        <v>1033</v>
      </c>
      <c r="F746" t="s">
        <v>1035</v>
      </c>
      <c r="G746" s="672" t="s">
        <v>961</v>
      </c>
      <c r="H746">
        <v>1.893</v>
      </c>
      <c r="J746" s="1" t="s">
        <v>770</v>
      </c>
      <c r="K746">
        <v>108258176</v>
      </c>
      <c r="L746" s="2">
        <v>45937</v>
      </c>
      <c r="M746">
        <v>21</v>
      </c>
      <c r="N746">
        <v>1</v>
      </c>
      <c r="O746">
        <v>7</v>
      </c>
      <c r="P746">
        <v>1</v>
      </c>
      <c r="Q746" t="s">
        <v>3</v>
      </c>
    </row>
    <row r="747" spans="1:17">
      <c r="A747" t="s">
        <v>1021</v>
      </c>
      <c r="B747" s="672" t="s">
        <v>965</v>
      </c>
      <c r="C747">
        <v>0</v>
      </c>
      <c r="E747" t="s">
        <v>1033</v>
      </c>
      <c r="F747" t="s">
        <v>1035</v>
      </c>
      <c r="G747" s="672" t="s">
        <v>961</v>
      </c>
      <c r="H747">
        <v>1.893</v>
      </c>
      <c r="J747" s="1" t="s">
        <v>770</v>
      </c>
      <c r="K747">
        <v>107576146</v>
      </c>
      <c r="L747" s="2">
        <v>45286</v>
      </c>
      <c r="M747">
        <v>23</v>
      </c>
      <c r="N747">
        <v>2</v>
      </c>
      <c r="O747">
        <v>7</v>
      </c>
      <c r="P747">
        <v>4</v>
      </c>
      <c r="Q747" t="s">
        <v>7</v>
      </c>
    </row>
    <row r="748" spans="1:17">
      <c r="A748" t="s">
        <v>1021</v>
      </c>
      <c r="B748" s="672" t="s">
        <v>965</v>
      </c>
      <c r="C748">
        <v>0</v>
      </c>
      <c r="E748" t="s">
        <v>1033</v>
      </c>
      <c r="G748" s="672" t="s">
        <v>961</v>
      </c>
      <c r="H748">
        <v>1.893</v>
      </c>
      <c r="J748" s="1" t="s">
        <v>770</v>
      </c>
      <c r="K748">
        <v>107999203</v>
      </c>
      <c r="L748" s="2">
        <v>45679</v>
      </c>
      <c r="M748">
        <v>30</v>
      </c>
      <c r="N748">
        <v>4</v>
      </c>
      <c r="O748">
        <v>7</v>
      </c>
      <c r="P748">
        <v>1</v>
      </c>
      <c r="Q748" t="s">
        <v>7</v>
      </c>
    </row>
    <row r="749" spans="1:17">
      <c r="A749" t="s">
        <v>1021</v>
      </c>
      <c r="B749" s="672" t="s">
        <v>965</v>
      </c>
      <c r="C749">
        <v>0</v>
      </c>
      <c r="D749" t="s">
        <v>756</v>
      </c>
      <c r="E749" t="s">
        <v>1035</v>
      </c>
      <c r="F749" t="s">
        <v>1133</v>
      </c>
      <c r="G749" s="672" t="s">
        <v>961</v>
      </c>
      <c r="H749">
        <v>1.893</v>
      </c>
      <c r="J749" s="1" t="s">
        <v>770</v>
      </c>
      <c r="K749">
        <v>108563514</v>
      </c>
      <c r="L749" s="2">
        <v>46212</v>
      </c>
      <c r="M749">
        <v>1</v>
      </c>
      <c r="N749">
        <v>2</v>
      </c>
      <c r="O749">
        <v>9</v>
      </c>
      <c r="P749">
        <v>2</v>
      </c>
      <c r="Q749" t="s">
        <v>7</v>
      </c>
    </row>
    <row r="750" spans="1:17">
      <c r="A750" t="s">
        <v>1021</v>
      </c>
      <c r="B750" s="672" t="s">
        <v>965</v>
      </c>
      <c r="C750">
        <v>0</v>
      </c>
      <c r="E750" t="s">
        <v>1035</v>
      </c>
      <c r="F750" t="s">
        <v>1098</v>
      </c>
      <c r="G750" s="672" t="s">
        <v>961</v>
      </c>
      <c r="H750">
        <v>1.893</v>
      </c>
      <c r="J750" s="1" t="s">
        <v>770</v>
      </c>
      <c r="K750">
        <v>108329713</v>
      </c>
      <c r="L750" s="2">
        <v>45996</v>
      </c>
      <c r="M750">
        <v>21</v>
      </c>
      <c r="N750">
        <v>2</v>
      </c>
      <c r="O750">
        <v>7</v>
      </c>
      <c r="P750">
        <v>1</v>
      </c>
      <c r="Q750" t="s">
        <v>3</v>
      </c>
    </row>
    <row r="751" spans="1:17">
      <c r="A751" t="s">
        <v>1021</v>
      </c>
      <c r="B751" s="672" t="s">
        <v>965</v>
      </c>
      <c r="C751">
        <v>0</v>
      </c>
      <c r="E751" t="s">
        <v>1035</v>
      </c>
      <c r="F751" t="s">
        <v>1032</v>
      </c>
      <c r="G751" s="672" t="s">
        <v>961</v>
      </c>
      <c r="H751">
        <v>1.893</v>
      </c>
      <c r="J751" s="1" t="s">
        <v>770</v>
      </c>
      <c r="K751">
        <v>106254564</v>
      </c>
      <c r="L751" s="2">
        <v>43941</v>
      </c>
      <c r="M751">
        <v>24</v>
      </c>
      <c r="N751">
        <v>1</v>
      </c>
      <c r="O751">
        <v>7</v>
      </c>
      <c r="P751">
        <v>1</v>
      </c>
      <c r="Q751" t="s">
        <v>7</v>
      </c>
    </row>
    <row r="752" spans="1:17">
      <c r="A752" t="s">
        <v>1021</v>
      </c>
      <c r="B752" s="672" t="s">
        <v>965</v>
      </c>
      <c r="C752">
        <v>0</v>
      </c>
      <c r="E752" t="s">
        <v>1035</v>
      </c>
      <c r="F752" t="s">
        <v>1033</v>
      </c>
      <c r="G752" s="672" t="s">
        <v>961</v>
      </c>
      <c r="H752">
        <v>1.893</v>
      </c>
      <c r="J752" s="1" t="s">
        <v>770</v>
      </c>
      <c r="K752">
        <v>106331707</v>
      </c>
      <c r="L752" s="2">
        <v>44029</v>
      </c>
      <c r="M752">
        <v>1</v>
      </c>
      <c r="N752">
        <v>1</v>
      </c>
      <c r="O752">
        <v>7</v>
      </c>
      <c r="P752">
        <v>1</v>
      </c>
      <c r="Q752" t="s">
        <v>7</v>
      </c>
    </row>
    <row r="753" spans="1:17">
      <c r="A753" t="s">
        <v>1021</v>
      </c>
      <c r="B753" s="672" t="s">
        <v>965</v>
      </c>
      <c r="C753">
        <v>0</v>
      </c>
      <c r="D753" t="s">
        <v>764</v>
      </c>
      <c r="E753" t="s">
        <v>1035</v>
      </c>
      <c r="F753" t="s">
        <v>1033</v>
      </c>
      <c r="G753" s="672" t="s">
        <v>961</v>
      </c>
      <c r="H753">
        <v>1.893</v>
      </c>
      <c r="J753" s="1" t="s">
        <v>770</v>
      </c>
      <c r="K753">
        <v>107017648</v>
      </c>
      <c r="L753" s="2">
        <v>44759</v>
      </c>
      <c r="M753">
        <v>2</v>
      </c>
      <c r="N753">
        <v>1</v>
      </c>
      <c r="O753">
        <v>7</v>
      </c>
      <c r="P753">
        <v>1</v>
      </c>
      <c r="Q753" t="s">
        <v>8</v>
      </c>
    </row>
    <row r="754" spans="1:17">
      <c r="A754" t="s">
        <v>1021</v>
      </c>
      <c r="B754" s="672" t="s">
        <v>965</v>
      </c>
      <c r="C754">
        <v>0</v>
      </c>
      <c r="D754" t="s">
        <v>756</v>
      </c>
      <c r="E754" t="s">
        <v>1035</v>
      </c>
      <c r="F754" t="s">
        <v>1026</v>
      </c>
      <c r="G754" s="672" t="s">
        <v>961</v>
      </c>
      <c r="H754">
        <v>1.893</v>
      </c>
      <c r="J754" s="1" t="s">
        <v>770</v>
      </c>
      <c r="K754">
        <v>107610731</v>
      </c>
      <c r="L754" s="2">
        <v>45321</v>
      </c>
      <c r="M754">
        <v>30</v>
      </c>
      <c r="N754">
        <v>1</v>
      </c>
      <c r="O754">
        <v>0</v>
      </c>
      <c r="P754">
        <v>1</v>
      </c>
      <c r="Q754" t="s">
        <v>7</v>
      </c>
    </row>
    <row r="755" spans="1:17">
      <c r="A755" t="s">
        <v>754</v>
      </c>
      <c r="B755" s="672" t="s">
        <v>961</v>
      </c>
      <c r="C755">
        <v>0</v>
      </c>
      <c r="E755" s="674" t="s">
        <v>975</v>
      </c>
      <c r="F755" s="674" t="s">
        <v>977</v>
      </c>
      <c r="G755" s="672" t="s">
        <v>961</v>
      </c>
      <c r="H755">
        <v>999.99900000000002</v>
      </c>
      <c r="J755" s="1" t="s">
        <v>770</v>
      </c>
      <c r="K755">
        <v>106471136</v>
      </c>
      <c r="L755" s="2">
        <v>44215</v>
      </c>
      <c r="M755">
        <v>21</v>
      </c>
      <c r="N755">
        <v>1</v>
      </c>
      <c r="O755">
        <v>8</v>
      </c>
      <c r="P755">
        <v>1</v>
      </c>
      <c r="Q755" t="s">
        <v>7</v>
      </c>
    </row>
    <row r="756" spans="1:17">
      <c r="A756" t="s">
        <v>1021</v>
      </c>
      <c r="B756" s="672" t="s">
        <v>961</v>
      </c>
      <c r="C756">
        <v>0</v>
      </c>
      <c r="E756" s="674" t="s">
        <v>975</v>
      </c>
      <c r="F756" s="674" t="s">
        <v>968</v>
      </c>
      <c r="G756" s="672" t="s">
        <v>961</v>
      </c>
      <c r="H756">
        <v>999.99900000000002</v>
      </c>
      <c r="J756" s="1" t="s">
        <v>770</v>
      </c>
      <c r="K756">
        <v>106889359</v>
      </c>
      <c r="L756" s="2">
        <v>44621</v>
      </c>
      <c r="M756">
        <v>21</v>
      </c>
      <c r="N756">
        <v>1</v>
      </c>
      <c r="O756">
        <v>8</v>
      </c>
      <c r="P756">
        <v>1</v>
      </c>
      <c r="Q756" t="s">
        <v>7</v>
      </c>
    </row>
    <row r="757" spans="1:17">
      <c r="A757" t="s">
        <v>1021</v>
      </c>
      <c r="B757" t="s">
        <v>1132</v>
      </c>
      <c r="C757">
        <v>1.9E-2</v>
      </c>
      <c r="D757" t="s">
        <v>757</v>
      </c>
      <c r="E757" s="675" t="s">
        <v>966</v>
      </c>
      <c r="F757" t="s">
        <v>1152</v>
      </c>
      <c r="G757" t="s">
        <v>1153</v>
      </c>
      <c r="H757">
        <v>7.492</v>
      </c>
      <c r="J757" s="1" t="s">
        <v>770</v>
      </c>
      <c r="K757">
        <v>105107761</v>
      </c>
      <c r="L757" s="2">
        <v>42856</v>
      </c>
      <c r="M757">
        <v>21</v>
      </c>
      <c r="N757">
        <v>1</v>
      </c>
      <c r="P757">
        <v>1</v>
      </c>
      <c r="Q757" t="s">
        <v>3</v>
      </c>
    </row>
    <row r="758" spans="1:17">
      <c r="A758" t="s">
        <v>1021</v>
      </c>
      <c r="B758" t="s">
        <v>1132</v>
      </c>
      <c r="C758">
        <v>0</v>
      </c>
      <c r="E758" s="675" t="s">
        <v>966</v>
      </c>
      <c r="F758" s="675" t="s">
        <v>1155</v>
      </c>
      <c r="G758" t="s">
        <v>1153</v>
      </c>
      <c r="H758">
        <v>7.5110000000000001</v>
      </c>
      <c r="J758" s="1" t="s">
        <v>770</v>
      </c>
      <c r="K758">
        <v>106802403</v>
      </c>
      <c r="L758" s="2">
        <v>44523</v>
      </c>
      <c r="M758">
        <v>24</v>
      </c>
      <c r="N758">
        <v>1</v>
      </c>
      <c r="O758">
        <v>0</v>
      </c>
      <c r="P758">
        <v>1</v>
      </c>
      <c r="Q758" t="s">
        <v>7</v>
      </c>
    </row>
    <row r="759" spans="1:17">
      <c r="A759" t="s">
        <v>1021</v>
      </c>
      <c r="B759" t="s">
        <v>1132</v>
      </c>
      <c r="C759">
        <v>0</v>
      </c>
      <c r="E759" s="675" t="s">
        <v>966</v>
      </c>
      <c r="F759" t="s">
        <v>1123</v>
      </c>
      <c r="G759" t="s">
        <v>1153</v>
      </c>
      <c r="H759">
        <v>7.5110000000000001</v>
      </c>
      <c r="J759" s="1" t="s">
        <v>770</v>
      </c>
      <c r="K759">
        <v>105792453</v>
      </c>
      <c r="L759" s="2">
        <v>43507</v>
      </c>
      <c r="M759">
        <v>19</v>
      </c>
      <c r="N759">
        <v>2</v>
      </c>
      <c r="O759">
        <v>8</v>
      </c>
      <c r="P759">
        <v>1</v>
      </c>
      <c r="Q759" t="s">
        <v>7</v>
      </c>
    </row>
    <row r="760" spans="1:17">
      <c r="A760" t="s">
        <v>1021</v>
      </c>
      <c r="B760" t="s">
        <v>1132</v>
      </c>
      <c r="C760">
        <v>0</v>
      </c>
      <c r="E760" s="675" t="s">
        <v>966</v>
      </c>
      <c r="F760" t="s">
        <v>1152</v>
      </c>
      <c r="G760" t="s">
        <v>1153</v>
      </c>
      <c r="H760">
        <v>7.5110000000000001</v>
      </c>
      <c r="J760" s="1" t="s">
        <v>770</v>
      </c>
      <c r="K760">
        <v>105445139</v>
      </c>
      <c r="L760" s="2">
        <v>43172</v>
      </c>
      <c r="M760">
        <v>21</v>
      </c>
      <c r="N760">
        <v>1</v>
      </c>
      <c r="O760">
        <v>0</v>
      </c>
      <c r="P760">
        <v>1</v>
      </c>
      <c r="Q760" t="s">
        <v>7</v>
      </c>
    </row>
    <row r="761" spans="1:17">
      <c r="A761" t="s">
        <v>1021</v>
      </c>
      <c r="B761" t="s">
        <v>1132</v>
      </c>
      <c r="C761">
        <v>0</v>
      </c>
      <c r="E761" s="675" t="s">
        <v>966</v>
      </c>
      <c r="F761" t="s">
        <v>1152</v>
      </c>
      <c r="G761" t="s">
        <v>1153</v>
      </c>
      <c r="H761">
        <v>7.5110000000000001</v>
      </c>
      <c r="J761" s="1" t="s">
        <v>770</v>
      </c>
      <c r="K761">
        <v>108017099</v>
      </c>
      <c r="L761" s="2">
        <v>45699</v>
      </c>
      <c r="M761">
        <v>21</v>
      </c>
      <c r="N761">
        <v>2</v>
      </c>
      <c r="O761">
        <v>8</v>
      </c>
      <c r="P761">
        <v>1</v>
      </c>
      <c r="Q761" t="s">
        <v>7</v>
      </c>
    </row>
    <row r="762" spans="1:17">
      <c r="A762" t="s">
        <v>1021</v>
      </c>
      <c r="B762" t="s">
        <v>1132</v>
      </c>
      <c r="C762">
        <v>0</v>
      </c>
      <c r="E762" s="675" t="s">
        <v>966</v>
      </c>
      <c r="F762" t="s">
        <v>1152</v>
      </c>
      <c r="G762" t="s">
        <v>1153</v>
      </c>
      <c r="H762">
        <v>7.5110000000000001</v>
      </c>
      <c r="J762" s="1" t="s">
        <v>770</v>
      </c>
      <c r="K762">
        <v>105984045</v>
      </c>
      <c r="L762" s="2">
        <v>43698</v>
      </c>
      <c r="M762">
        <v>30</v>
      </c>
      <c r="N762">
        <v>1</v>
      </c>
      <c r="O762">
        <v>8</v>
      </c>
      <c r="P762">
        <v>1</v>
      </c>
      <c r="Q762" t="s">
        <v>7</v>
      </c>
    </row>
    <row r="763" spans="1:17">
      <c r="A763" t="s">
        <v>1021</v>
      </c>
      <c r="B763" s="675" t="s">
        <v>966</v>
      </c>
      <c r="C763">
        <v>0</v>
      </c>
      <c r="E763" t="s">
        <v>1132</v>
      </c>
      <c r="F763" t="s">
        <v>1165</v>
      </c>
      <c r="G763" t="s">
        <v>1153</v>
      </c>
      <c r="H763">
        <v>7.5110000000000001</v>
      </c>
      <c r="J763" s="1" t="s">
        <v>770</v>
      </c>
      <c r="K763">
        <v>107250315</v>
      </c>
      <c r="L763" s="2">
        <v>44978</v>
      </c>
      <c r="M763">
        <v>21</v>
      </c>
      <c r="N763">
        <v>1</v>
      </c>
      <c r="O763">
        <v>8</v>
      </c>
      <c r="P763">
        <v>1</v>
      </c>
      <c r="Q763" t="s">
        <v>7</v>
      </c>
    </row>
    <row r="764" spans="1:17">
      <c r="A764" t="s">
        <v>1021</v>
      </c>
      <c r="B764" s="675" t="s">
        <v>966</v>
      </c>
      <c r="C764">
        <v>0</v>
      </c>
      <c r="E764" t="s">
        <v>1132</v>
      </c>
      <c r="F764" t="s">
        <v>1152</v>
      </c>
      <c r="G764" t="s">
        <v>1153</v>
      </c>
      <c r="H764">
        <v>7.5110000000000001</v>
      </c>
      <c r="J764" s="1" t="s">
        <v>770</v>
      </c>
      <c r="K764">
        <v>106422415</v>
      </c>
      <c r="L764" s="2">
        <v>44139</v>
      </c>
      <c r="M764">
        <v>21</v>
      </c>
      <c r="N764">
        <v>1</v>
      </c>
      <c r="P764">
        <v>1</v>
      </c>
      <c r="Q764" t="s">
        <v>7</v>
      </c>
    </row>
    <row r="765" spans="1:17">
      <c r="A765" t="s">
        <v>1021</v>
      </c>
      <c r="B765" s="675" t="s">
        <v>966</v>
      </c>
      <c r="C765">
        <v>0</v>
      </c>
      <c r="E765" t="s">
        <v>1132</v>
      </c>
      <c r="F765" t="s">
        <v>1152</v>
      </c>
      <c r="G765" t="s">
        <v>1153</v>
      </c>
      <c r="H765">
        <v>7.5110000000000001</v>
      </c>
      <c r="J765" s="1" t="s">
        <v>770</v>
      </c>
      <c r="K765">
        <v>107477913</v>
      </c>
      <c r="L765" s="2">
        <v>45202</v>
      </c>
      <c r="M765">
        <v>21</v>
      </c>
      <c r="N765">
        <v>1</v>
      </c>
      <c r="O765">
        <v>0</v>
      </c>
      <c r="P765">
        <v>1</v>
      </c>
      <c r="Q765" t="s">
        <v>7</v>
      </c>
    </row>
    <row r="766" spans="1:17">
      <c r="A766" t="s">
        <v>1021</v>
      </c>
      <c r="B766" s="675" t="s">
        <v>964</v>
      </c>
      <c r="C766">
        <v>5.7000000000000002E-2</v>
      </c>
      <c r="D766" t="s">
        <v>762</v>
      </c>
      <c r="E766" s="674" t="s">
        <v>968</v>
      </c>
      <c r="F766" s="673" t="s">
        <v>967</v>
      </c>
      <c r="G766" s="673" t="s">
        <v>960</v>
      </c>
      <c r="H766">
        <v>0</v>
      </c>
      <c r="J766" s="1" t="s">
        <v>770</v>
      </c>
      <c r="K766">
        <v>107720324</v>
      </c>
      <c r="L766" s="2">
        <v>45427</v>
      </c>
      <c r="M766">
        <v>21</v>
      </c>
      <c r="N766">
        <v>2</v>
      </c>
      <c r="O766">
        <v>0</v>
      </c>
      <c r="P766">
        <v>1</v>
      </c>
      <c r="Q766" t="s">
        <v>7</v>
      </c>
    </row>
    <row r="767" spans="1:17">
      <c r="A767" t="s">
        <v>1021</v>
      </c>
      <c r="B767" s="675" t="s">
        <v>964</v>
      </c>
      <c r="C767">
        <v>0</v>
      </c>
      <c r="D767" t="s">
        <v>765</v>
      </c>
      <c r="E767" s="674" t="s">
        <v>968</v>
      </c>
      <c r="F767" s="675" t="s">
        <v>966</v>
      </c>
      <c r="G767" s="673" t="s">
        <v>960</v>
      </c>
      <c r="H767">
        <v>0</v>
      </c>
      <c r="J767" s="1" t="s">
        <v>770</v>
      </c>
      <c r="K767">
        <v>105093382</v>
      </c>
      <c r="L767" s="2">
        <v>42857</v>
      </c>
      <c r="M767">
        <v>30</v>
      </c>
      <c r="N767">
        <v>1</v>
      </c>
      <c r="O767">
        <v>0</v>
      </c>
      <c r="P767">
        <v>1</v>
      </c>
      <c r="Q767" t="s">
        <v>7</v>
      </c>
    </row>
    <row r="768" spans="1:17">
      <c r="A768" t="s">
        <v>1021</v>
      </c>
      <c r="B768" s="675" t="s">
        <v>964</v>
      </c>
      <c r="C768">
        <v>2E-3</v>
      </c>
      <c r="D768" t="s">
        <v>764</v>
      </c>
      <c r="E768" s="674" t="s">
        <v>968</v>
      </c>
      <c r="F768" s="673" t="s">
        <v>967</v>
      </c>
      <c r="G768" s="673" t="s">
        <v>960</v>
      </c>
      <c r="H768">
        <v>2E-3</v>
      </c>
      <c r="J768" s="1" t="s">
        <v>770</v>
      </c>
      <c r="K768">
        <v>108029531</v>
      </c>
      <c r="L768" s="2">
        <v>45712</v>
      </c>
      <c r="M768">
        <v>21</v>
      </c>
      <c r="N768">
        <v>1</v>
      </c>
      <c r="O768">
        <v>7</v>
      </c>
      <c r="P768">
        <v>1</v>
      </c>
      <c r="Q768" t="s">
        <v>7</v>
      </c>
    </row>
    <row r="769" spans="1:17">
      <c r="A769" t="s">
        <v>1021</v>
      </c>
      <c r="B769" s="675" t="s">
        <v>964</v>
      </c>
      <c r="C769">
        <v>4.0000000000000001E-3</v>
      </c>
      <c r="D769" t="s">
        <v>764</v>
      </c>
      <c r="E769" s="674" t="s">
        <v>968</v>
      </c>
      <c r="F769" s="673" t="s">
        <v>967</v>
      </c>
      <c r="G769" s="673" t="s">
        <v>960</v>
      </c>
      <c r="H769">
        <v>4.0000000000000001E-3</v>
      </c>
      <c r="J769" s="1" t="s">
        <v>770</v>
      </c>
      <c r="K769">
        <v>108003839</v>
      </c>
      <c r="L769" s="2">
        <v>45630</v>
      </c>
      <c r="M769">
        <v>21</v>
      </c>
      <c r="N769">
        <v>1</v>
      </c>
      <c r="O769">
        <v>7</v>
      </c>
      <c r="P769">
        <v>1</v>
      </c>
      <c r="Q769" t="s">
        <v>7</v>
      </c>
    </row>
    <row r="770" spans="1:17">
      <c r="A770" t="s">
        <v>1021</v>
      </c>
      <c r="B770" s="675" t="s">
        <v>964</v>
      </c>
      <c r="C770">
        <v>1.9E-2</v>
      </c>
      <c r="D770" t="s">
        <v>757</v>
      </c>
      <c r="E770" s="674" t="s">
        <v>968</v>
      </c>
      <c r="F770" s="675" t="s">
        <v>966</v>
      </c>
      <c r="G770" s="673" t="s">
        <v>960</v>
      </c>
      <c r="H770">
        <v>1.9E-2</v>
      </c>
      <c r="J770" s="1" t="s">
        <v>770</v>
      </c>
      <c r="K770">
        <v>106802233</v>
      </c>
      <c r="L770" s="2">
        <v>44452</v>
      </c>
      <c r="M770">
        <v>21</v>
      </c>
      <c r="N770">
        <v>1</v>
      </c>
      <c r="O770">
        <v>0</v>
      </c>
      <c r="P770">
        <v>1</v>
      </c>
      <c r="Q770" t="s">
        <v>7</v>
      </c>
    </row>
    <row r="771" spans="1:17">
      <c r="A771" t="s">
        <v>1021</v>
      </c>
      <c r="B771" s="675" t="s">
        <v>964</v>
      </c>
      <c r="C771">
        <v>3.7999999999999999E-2</v>
      </c>
      <c r="D771" t="s">
        <v>756</v>
      </c>
      <c r="E771" s="674" t="s">
        <v>968</v>
      </c>
      <c r="F771" t="s">
        <v>985</v>
      </c>
      <c r="G771" s="673" t="s">
        <v>960</v>
      </c>
      <c r="H771">
        <v>3.7999999999999999E-2</v>
      </c>
      <c r="J771" s="1" t="s">
        <v>770</v>
      </c>
      <c r="K771">
        <v>108385753</v>
      </c>
      <c r="L771" s="2">
        <v>46051</v>
      </c>
      <c r="M771">
        <v>21</v>
      </c>
      <c r="N771">
        <v>1</v>
      </c>
      <c r="O771">
        <v>0</v>
      </c>
      <c r="P771">
        <v>5</v>
      </c>
      <c r="Q771" t="s">
        <v>7</v>
      </c>
    </row>
    <row r="772" spans="1:17">
      <c r="A772" t="s">
        <v>1021</v>
      </c>
      <c r="B772" s="675" t="s">
        <v>964</v>
      </c>
      <c r="C772">
        <v>0.114</v>
      </c>
      <c r="D772" t="s">
        <v>764</v>
      </c>
      <c r="E772" s="674" t="s">
        <v>968</v>
      </c>
      <c r="F772" s="673" t="s">
        <v>967</v>
      </c>
      <c r="G772" s="673" t="s">
        <v>960</v>
      </c>
      <c r="H772">
        <v>0.114</v>
      </c>
      <c r="J772" s="1" t="s">
        <v>770</v>
      </c>
      <c r="K772">
        <v>105472361</v>
      </c>
      <c r="L772" s="2">
        <v>43215</v>
      </c>
      <c r="M772">
        <v>21</v>
      </c>
      <c r="N772">
        <v>1</v>
      </c>
      <c r="O772">
        <v>4</v>
      </c>
      <c r="P772">
        <v>1</v>
      </c>
      <c r="Q772" t="s">
        <v>7</v>
      </c>
    </row>
    <row r="773" spans="1:17">
      <c r="A773" t="s">
        <v>1021</v>
      </c>
      <c r="B773" s="675" t="s">
        <v>964</v>
      </c>
      <c r="C773">
        <v>0.54</v>
      </c>
      <c r="D773" t="s">
        <v>758</v>
      </c>
      <c r="E773" s="673" t="s">
        <v>967</v>
      </c>
      <c r="F773" s="674" t="s">
        <v>968</v>
      </c>
      <c r="G773" s="673" t="s">
        <v>960</v>
      </c>
      <c r="H773">
        <v>0.187</v>
      </c>
      <c r="J773" s="1" t="s">
        <v>770</v>
      </c>
      <c r="K773">
        <v>106975815</v>
      </c>
      <c r="L773" s="2">
        <v>44713</v>
      </c>
      <c r="M773">
        <v>21</v>
      </c>
      <c r="N773">
        <v>1</v>
      </c>
      <c r="O773">
        <v>0</v>
      </c>
      <c r="P773">
        <v>1</v>
      </c>
      <c r="Q773" t="s">
        <v>7</v>
      </c>
    </row>
    <row r="774" spans="1:17">
      <c r="A774" t="s">
        <v>1021</v>
      </c>
      <c r="B774" s="675" t="s">
        <v>964</v>
      </c>
      <c r="C774">
        <v>0.2</v>
      </c>
      <c r="D774" t="s">
        <v>764</v>
      </c>
      <c r="E774" s="674" t="s">
        <v>968</v>
      </c>
      <c r="F774" t="s">
        <v>1072</v>
      </c>
      <c r="G774" s="673" t="s">
        <v>960</v>
      </c>
      <c r="H774">
        <v>0.2</v>
      </c>
      <c r="J774" s="1" t="s">
        <v>770</v>
      </c>
      <c r="K774">
        <v>105752254</v>
      </c>
      <c r="L774" s="2">
        <v>43469</v>
      </c>
      <c r="M774">
        <v>1</v>
      </c>
      <c r="N774">
        <v>2</v>
      </c>
      <c r="O774">
        <v>0</v>
      </c>
      <c r="P774">
        <v>1</v>
      </c>
      <c r="Q774" t="s">
        <v>7</v>
      </c>
    </row>
    <row r="775" spans="1:17">
      <c r="A775" t="s">
        <v>1021</v>
      </c>
      <c r="B775" s="675" t="s">
        <v>964</v>
      </c>
      <c r="C775">
        <v>0.48499999999999999</v>
      </c>
      <c r="D775" t="s">
        <v>758</v>
      </c>
      <c r="E775" s="675" t="s">
        <v>966</v>
      </c>
      <c r="F775" s="674" t="s">
        <v>968</v>
      </c>
      <c r="G775" s="673" t="s">
        <v>960</v>
      </c>
      <c r="H775">
        <v>0.24199999999999999</v>
      </c>
      <c r="J775" s="1" t="s">
        <v>770</v>
      </c>
      <c r="K775">
        <v>106802248</v>
      </c>
      <c r="L775" s="2">
        <v>44461</v>
      </c>
      <c r="M775">
        <v>21</v>
      </c>
      <c r="N775">
        <v>2</v>
      </c>
      <c r="O775">
        <v>0</v>
      </c>
      <c r="P775">
        <v>1</v>
      </c>
      <c r="Q775" t="s">
        <v>7</v>
      </c>
    </row>
    <row r="776" spans="1:17">
      <c r="A776" t="s">
        <v>1021</v>
      </c>
      <c r="B776" s="675" t="s">
        <v>964</v>
      </c>
      <c r="C776">
        <v>0.25</v>
      </c>
      <c r="D776" t="s">
        <v>756</v>
      </c>
      <c r="E776" s="674" t="s">
        <v>968</v>
      </c>
      <c r="F776" s="675" t="s">
        <v>966</v>
      </c>
      <c r="G776" s="673" t="s">
        <v>960</v>
      </c>
      <c r="H776">
        <v>0.25</v>
      </c>
      <c r="J776" s="1" t="s">
        <v>770</v>
      </c>
      <c r="K776">
        <v>107845682</v>
      </c>
      <c r="L776" s="2">
        <v>45546</v>
      </c>
      <c r="M776">
        <v>28</v>
      </c>
      <c r="N776">
        <v>1</v>
      </c>
      <c r="O776">
        <v>0</v>
      </c>
      <c r="P776">
        <v>1</v>
      </c>
      <c r="Q776" t="s">
        <v>7</v>
      </c>
    </row>
    <row r="777" spans="1:17">
      <c r="A777" t="s">
        <v>1021</v>
      </c>
      <c r="B777" s="675" t="s">
        <v>964</v>
      </c>
      <c r="C777">
        <v>0.25</v>
      </c>
      <c r="D777" t="s">
        <v>756</v>
      </c>
      <c r="E777" s="674" t="s">
        <v>1080</v>
      </c>
      <c r="F777" s="673" t="s">
        <v>1140</v>
      </c>
      <c r="G777" s="673" t="s">
        <v>960</v>
      </c>
      <c r="H777">
        <v>0.25</v>
      </c>
      <c r="J777" s="1" t="s">
        <v>770</v>
      </c>
      <c r="K777">
        <v>106863687</v>
      </c>
      <c r="L777" s="2">
        <v>44606</v>
      </c>
      <c r="M777">
        <v>21</v>
      </c>
      <c r="N777">
        <v>1</v>
      </c>
      <c r="O777">
        <v>0</v>
      </c>
      <c r="P777">
        <v>1</v>
      </c>
      <c r="Q777" t="s">
        <v>3</v>
      </c>
    </row>
    <row r="778" spans="1:17">
      <c r="A778" t="s">
        <v>1021</v>
      </c>
      <c r="B778" s="675" t="s">
        <v>964</v>
      </c>
      <c r="C778">
        <v>0.3</v>
      </c>
      <c r="D778" t="s">
        <v>764</v>
      </c>
      <c r="E778" s="674" t="s">
        <v>968</v>
      </c>
      <c r="F778" s="675" t="s">
        <v>966</v>
      </c>
      <c r="G778" s="673" t="s">
        <v>960</v>
      </c>
      <c r="H778">
        <v>0.3</v>
      </c>
      <c r="J778" s="1" t="s">
        <v>770</v>
      </c>
      <c r="K778">
        <v>106223030</v>
      </c>
      <c r="L778" s="2">
        <v>43895</v>
      </c>
      <c r="M778">
        <v>30</v>
      </c>
      <c r="N778">
        <v>1</v>
      </c>
      <c r="O778">
        <v>4</v>
      </c>
      <c r="P778">
        <v>1</v>
      </c>
      <c r="Q778" t="s">
        <v>7</v>
      </c>
    </row>
    <row r="779" spans="1:17">
      <c r="A779" t="s">
        <v>1021</v>
      </c>
      <c r="B779" s="675" t="s">
        <v>964</v>
      </c>
      <c r="C779">
        <v>0.4</v>
      </c>
      <c r="D779" t="s">
        <v>764</v>
      </c>
      <c r="E779" s="673" t="s">
        <v>967</v>
      </c>
      <c r="F779" s="674" t="s">
        <v>968</v>
      </c>
      <c r="G779" s="673" t="s">
        <v>960</v>
      </c>
      <c r="H779">
        <v>0.32700000000000001</v>
      </c>
      <c r="J779" s="1" t="s">
        <v>770</v>
      </c>
      <c r="K779">
        <v>105007263</v>
      </c>
      <c r="L779" s="2">
        <v>42753</v>
      </c>
      <c r="M779">
        <v>30</v>
      </c>
      <c r="N779">
        <v>1</v>
      </c>
      <c r="O779">
        <v>9</v>
      </c>
      <c r="P779">
        <v>1</v>
      </c>
      <c r="Q779" t="s">
        <v>3</v>
      </c>
    </row>
    <row r="780" spans="1:17">
      <c r="A780" t="s">
        <v>1021</v>
      </c>
      <c r="B780" s="675" t="s">
        <v>964</v>
      </c>
      <c r="C780">
        <v>0.3</v>
      </c>
      <c r="D780" t="s">
        <v>757</v>
      </c>
      <c r="E780" s="675" t="s">
        <v>966</v>
      </c>
      <c r="F780" s="674" t="s">
        <v>968</v>
      </c>
      <c r="G780" s="673" t="s">
        <v>960</v>
      </c>
      <c r="H780">
        <v>0.42699999999999999</v>
      </c>
      <c r="J780" s="1" t="s">
        <v>770</v>
      </c>
      <c r="K780">
        <v>105277887</v>
      </c>
      <c r="L780" s="2">
        <v>43026</v>
      </c>
      <c r="M780">
        <v>21</v>
      </c>
      <c r="N780">
        <v>1</v>
      </c>
      <c r="O780">
        <v>0</v>
      </c>
      <c r="P780">
        <v>1</v>
      </c>
      <c r="Q780" t="s">
        <v>7</v>
      </c>
    </row>
    <row r="781" spans="1:17">
      <c r="A781" t="s">
        <v>1021</v>
      </c>
      <c r="B781" s="675" t="s">
        <v>964</v>
      </c>
      <c r="C781">
        <v>0.2</v>
      </c>
      <c r="D781" t="s">
        <v>758</v>
      </c>
      <c r="E781" s="675" t="s">
        <v>966</v>
      </c>
      <c r="F781" s="674" t="s">
        <v>1103</v>
      </c>
      <c r="G781" s="673" t="s">
        <v>960</v>
      </c>
      <c r="H781">
        <v>0.52700000000000002</v>
      </c>
      <c r="J781" s="1" t="s">
        <v>770</v>
      </c>
      <c r="K781">
        <v>105792462</v>
      </c>
      <c r="L781" s="2">
        <v>43516</v>
      </c>
      <c r="M781">
        <v>30</v>
      </c>
      <c r="N781">
        <v>2</v>
      </c>
      <c r="O781">
        <v>8</v>
      </c>
      <c r="P781">
        <v>1</v>
      </c>
      <c r="Q781" t="s">
        <v>7</v>
      </c>
    </row>
    <row r="782" spans="1:17">
      <c r="A782" t="s">
        <v>1021</v>
      </c>
      <c r="B782" s="675" t="s">
        <v>964</v>
      </c>
      <c r="C782">
        <v>0.1</v>
      </c>
      <c r="D782" t="s">
        <v>758</v>
      </c>
      <c r="E782" s="673" t="s">
        <v>967</v>
      </c>
      <c r="F782" s="675" t="s">
        <v>966</v>
      </c>
      <c r="G782" s="673" t="s">
        <v>960</v>
      </c>
      <c r="H782">
        <v>0.627</v>
      </c>
      <c r="J782" s="1" t="s">
        <v>770</v>
      </c>
      <c r="K782">
        <v>106095425</v>
      </c>
      <c r="L782" s="2">
        <v>43784</v>
      </c>
      <c r="M782">
        <v>31</v>
      </c>
      <c r="N782">
        <v>2</v>
      </c>
      <c r="O782">
        <v>0</v>
      </c>
      <c r="P782">
        <v>4</v>
      </c>
    </row>
    <row r="783" spans="1:17">
      <c r="A783" t="s">
        <v>1021</v>
      </c>
      <c r="B783" s="675" t="s">
        <v>964</v>
      </c>
      <c r="C783">
        <v>0.09</v>
      </c>
      <c r="D783" t="s">
        <v>763</v>
      </c>
      <c r="E783" s="673" t="s">
        <v>967</v>
      </c>
      <c r="F783" s="674" t="s">
        <v>968</v>
      </c>
      <c r="G783" s="673" t="s">
        <v>960</v>
      </c>
      <c r="H783">
        <v>0.63700000000000001</v>
      </c>
      <c r="J783" s="1" t="s">
        <v>770</v>
      </c>
      <c r="K783">
        <v>106022033</v>
      </c>
      <c r="L783" s="2">
        <v>43735</v>
      </c>
      <c r="M783">
        <v>21</v>
      </c>
      <c r="N783">
        <v>1</v>
      </c>
      <c r="O783">
        <v>0</v>
      </c>
      <c r="P783">
        <v>1</v>
      </c>
      <c r="Q783" t="s">
        <v>7</v>
      </c>
    </row>
    <row r="784" spans="1:17">
      <c r="A784" t="s">
        <v>1021</v>
      </c>
      <c r="B784" s="675" t="s">
        <v>964</v>
      </c>
      <c r="C784">
        <v>2.5000000000000001E-2</v>
      </c>
      <c r="D784" t="s">
        <v>763</v>
      </c>
      <c r="E784" s="675" t="s">
        <v>966</v>
      </c>
      <c r="F784" s="673" t="s">
        <v>1122</v>
      </c>
      <c r="G784" s="673" t="s">
        <v>960</v>
      </c>
      <c r="H784">
        <v>0.70199999999999996</v>
      </c>
      <c r="J784" s="1" t="s">
        <v>770</v>
      </c>
      <c r="K784">
        <v>106167169</v>
      </c>
      <c r="L784" s="2">
        <v>43837</v>
      </c>
      <c r="M784">
        <v>21</v>
      </c>
      <c r="N784">
        <v>2</v>
      </c>
      <c r="O784">
        <v>10</v>
      </c>
      <c r="P784">
        <v>1</v>
      </c>
      <c r="Q784" t="s">
        <v>7</v>
      </c>
    </row>
    <row r="785" spans="1:17">
      <c r="A785" t="s">
        <v>1021</v>
      </c>
      <c r="B785" s="675" t="s">
        <v>964</v>
      </c>
      <c r="C785">
        <v>2.1999999999999999E-2</v>
      </c>
      <c r="D785" t="s">
        <v>763</v>
      </c>
      <c r="E785" s="675" t="s">
        <v>966</v>
      </c>
      <c r="F785" s="674" t="s">
        <v>968</v>
      </c>
      <c r="G785" s="673" t="s">
        <v>960</v>
      </c>
      <c r="H785">
        <v>0.70499999999999996</v>
      </c>
      <c r="J785" s="1" t="s">
        <v>770</v>
      </c>
      <c r="K785">
        <v>108390439</v>
      </c>
      <c r="L785" s="2">
        <v>46056</v>
      </c>
      <c r="M785">
        <v>19</v>
      </c>
      <c r="N785">
        <v>5</v>
      </c>
      <c r="O785">
        <v>10</v>
      </c>
      <c r="P785">
        <v>1</v>
      </c>
    </row>
    <row r="786" spans="1:17">
      <c r="A786" t="s">
        <v>1021</v>
      </c>
      <c r="B786" s="675" t="s">
        <v>964</v>
      </c>
      <c r="C786">
        <v>1.4E-2</v>
      </c>
      <c r="D786" t="s">
        <v>758</v>
      </c>
      <c r="E786" s="673" t="s">
        <v>967</v>
      </c>
      <c r="F786" s="674" t="s">
        <v>968</v>
      </c>
      <c r="G786" s="673" t="s">
        <v>960</v>
      </c>
      <c r="H786">
        <v>0.71299999999999997</v>
      </c>
      <c r="J786" s="1" t="s">
        <v>770</v>
      </c>
      <c r="K786">
        <v>106842220</v>
      </c>
      <c r="L786" s="2">
        <v>44586</v>
      </c>
      <c r="M786">
        <v>24</v>
      </c>
      <c r="N786">
        <v>1</v>
      </c>
      <c r="O786">
        <v>0</v>
      </c>
      <c r="P786">
        <v>1</v>
      </c>
      <c r="Q786" t="s">
        <v>7</v>
      </c>
    </row>
    <row r="787" spans="1:17">
      <c r="A787" t="s">
        <v>1021</v>
      </c>
      <c r="B787" s="675" t="s">
        <v>964</v>
      </c>
      <c r="C787">
        <v>0.01</v>
      </c>
      <c r="D787" t="s">
        <v>763</v>
      </c>
      <c r="E787" s="675" t="s">
        <v>966</v>
      </c>
      <c r="F787" s="674" t="s">
        <v>968</v>
      </c>
      <c r="G787" s="673" t="s">
        <v>960</v>
      </c>
      <c r="H787">
        <v>0.71699999999999997</v>
      </c>
      <c r="J787" s="1" t="s">
        <v>770</v>
      </c>
      <c r="K787">
        <v>106825139</v>
      </c>
      <c r="L787" s="2">
        <v>44567</v>
      </c>
      <c r="M787">
        <v>30</v>
      </c>
      <c r="N787">
        <v>1</v>
      </c>
      <c r="O787">
        <v>8</v>
      </c>
      <c r="P787">
        <v>1</v>
      </c>
      <c r="Q787" t="s">
        <v>7</v>
      </c>
    </row>
    <row r="788" spans="1:17">
      <c r="A788" t="s">
        <v>1021</v>
      </c>
      <c r="B788" s="675" t="s">
        <v>964</v>
      </c>
      <c r="C788">
        <v>8.9999999999999993E-3</v>
      </c>
      <c r="D788" t="s">
        <v>758</v>
      </c>
      <c r="E788" s="675" t="s">
        <v>966</v>
      </c>
      <c r="F788" s="673" t="s">
        <v>967</v>
      </c>
      <c r="G788" s="673" t="s">
        <v>960</v>
      </c>
      <c r="H788">
        <v>0.71799999999999997</v>
      </c>
      <c r="J788" s="1" t="s">
        <v>770</v>
      </c>
      <c r="K788">
        <v>105329577</v>
      </c>
      <c r="L788" s="2">
        <v>43071</v>
      </c>
      <c r="M788">
        <v>1</v>
      </c>
      <c r="N788">
        <v>2</v>
      </c>
      <c r="O788">
        <v>10</v>
      </c>
      <c r="P788">
        <v>1</v>
      </c>
      <c r="Q788" t="s">
        <v>7</v>
      </c>
    </row>
    <row r="789" spans="1:17">
      <c r="A789" t="s">
        <v>1021</v>
      </c>
      <c r="B789" s="675" t="s">
        <v>966</v>
      </c>
      <c r="C789">
        <v>0</v>
      </c>
      <c r="E789" s="675" t="s">
        <v>964</v>
      </c>
      <c r="G789" s="673" t="s">
        <v>960</v>
      </c>
      <c r="H789">
        <v>0.72699999999999998</v>
      </c>
      <c r="J789" s="1" t="s">
        <v>770</v>
      </c>
      <c r="K789">
        <v>108450173</v>
      </c>
      <c r="L789" s="2">
        <v>46107</v>
      </c>
      <c r="M789">
        <v>26</v>
      </c>
      <c r="N789">
        <v>1</v>
      </c>
      <c r="O789">
        <v>10</v>
      </c>
      <c r="P789">
        <v>1</v>
      </c>
      <c r="Q789" t="s">
        <v>7</v>
      </c>
    </row>
    <row r="790" spans="1:17">
      <c r="A790" t="s">
        <v>1021</v>
      </c>
      <c r="B790" s="675" t="s">
        <v>964</v>
      </c>
      <c r="C790">
        <v>0</v>
      </c>
      <c r="E790" s="673" t="s">
        <v>967</v>
      </c>
      <c r="F790" s="675" t="s">
        <v>966</v>
      </c>
      <c r="G790" s="673" t="s">
        <v>960</v>
      </c>
      <c r="H790">
        <v>0.72699999999999998</v>
      </c>
      <c r="J790" s="1" t="s">
        <v>770</v>
      </c>
      <c r="K790">
        <v>106845781</v>
      </c>
      <c r="L790" s="2">
        <v>44590</v>
      </c>
      <c r="M790">
        <v>19</v>
      </c>
      <c r="N790">
        <v>4</v>
      </c>
      <c r="O790">
        <v>10</v>
      </c>
      <c r="P790">
        <v>1</v>
      </c>
      <c r="Q790" t="s">
        <v>7</v>
      </c>
    </row>
    <row r="791" spans="1:17">
      <c r="A791" t="s">
        <v>1021</v>
      </c>
      <c r="B791" s="673" t="s">
        <v>967</v>
      </c>
      <c r="C791">
        <v>1.9E-2</v>
      </c>
      <c r="D791" t="s">
        <v>757</v>
      </c>
      <c r="E791" t="s">
        <v>1029</v>
      </c>
      <c r="F791" s="675" t="s">
        <v>966</v>
      </c>
      <c r="G791" s="673" t="s">
        <v>960</v>
      </c>
      <c r="H791">
        <v>0.89200000000000002</v>
      </c>
      <c r="J791" s="1" t="s">
        <v>770</v>
      </c>
      <c r="K791">
        <v>107314311</v>
      </c>
      <c r="L791" s="2">
        <v>45042</v>
      </c>
      <c r="M791">
        <v>21</v>
      </c>
      <c r="N791">
        <v>2</v>
      </c>
      <c r="O791">
        <v>0</v>
      </c>
      <c r="P791">
        <v>1</v>
      </c>
      <c r="Q791" t="s">
        <v>3</v>
      </c>
    </row>
    <row r="792" spans="1:17">
      <c r="A792" t="s">
        <v>1021</v>
      </c>
      <c r="B792" s="673" t="s">
        <v>967</v>
      </c>
      <c r="C792">
        <v>0</v>
      </c>
      <c r="E792" t="s">
        <v>1029</v>
      </c>
      <c r="F792" t="s">
        <v>1176</v>
      </c>
      <c r="G792" s="673" t="s">
        <v>960</v>
      </c>
      <c r="H792">
        <v>0.91100000000000003</v>
      </c>
      <c r="J792" s="1" t="s">
        <v>770</v>
      </c>
      <c r="K792">
        <v>107830904</v>
      </c>
      <c r="L792" s="2">
        <v>45531</v>
      </c>
      <c r="M792">
        <v>24</v>
      </c>
      <c r="N792">
        <v>1</v>
      </c>
      <c r="O792">
        <v>8</v>
      </c>
      <c r="P792">
        <v>1</v>
      </c>
      <c r="Q792" t="s">
        <v>7</v>
      </c>
    </row>
    <row r="793" spans="1:17">
      <c r="A793" t="s">
        <v>1021</v>
      </c>
      <c r="B793" s="673" t="s">
        <v>967</v>
      </c>
      <c r="C793">
        <v>0</v>
      </c>
      <c r="E793" t="s">
        <v>1029</v>
      </c>
      <c r="F793" s="675" t="s">
        <v>966</v>
      </c>
      <c r="G793" s="673" t="s">
        <v>960</v>
      </c>
      <c r="H793">
        <v>0.91100000000000003</v>
      </c>
      <c r="J793" s="1" t="s">
        <v>770</v>
      </c>
      <c r="K793">
        <v>107685715</v>
      </c>
      <c r="L793" s="2">
        <v>45393</v>
      </c>
      <c r="M793">
        <v>1</v>
      </c>
      <c r="N793">
        <v>2</v>
      </c>
      <c r="O793">
        <v>0</v>
      </c>
      <c r="P793">
        <v>1</v>
      </c>
      <c r="Q793" t="s">
        <v>7</v>
      </c>
    </row>
    <row r="794" spans="1:17">
      <c r="A794" t="s">
        <v>1021</v>
      </c>
      <c r="B794" s="673" t="s">
        <v>967</v>
      </c>
      <c r="C794">
        <v>0</v>
      </c>
      <c r="E794" t="s">
        <v>1029</v>
      </c>
      <c r="F794" s="675" t="s">
        <v>966</v>
      </c>
      <c r="G794" s="673" t="s">
        <v>960</v>
      </c>
      <c r="H794">
        <v>0.91100000000000003</v>
      </c>
      <c r="J794" s="1" t="s">
        <v>770</v>
      </c>
      <c r="K794">
        <v>108444655</v>
      </c>
      <c r="L794" s="2">
        <v>46106</v>
      </c>
      <c r="M794">
        <v>30</v>
      </c>
      <c r="N794">
        <v>1</v>
      </c>
      <c r="O794">
        <v>8</v>
      </c>
      <c r="P794">
        <v>1</v>
      </c>
      <c r="Q794" t="s">
        <v>7</v>
      </c>
    </row>
    <row r="795" spans="1:17">
      <c r="A795" t="s">
        <v>1021</v>
      </c>
      <c r="B795" s="673" t="s">
        <v>967</v>
      </c>
      <c r="C795">
        <v>0</v>
      </c>
      <c r="E795" t="s">
        <v>1029</v>
      </c>
      <c r="F795" s="675" t="s">
        <v>966</v>
      </c>
      <c r="G795" s="673" t="s">
        <v>960</v>
      </c>
      <c r="H795">
        <v>0.91100000000000003</v>
      </c>
      <c r="J795" s="1" t="s">
        <v>770</v>
      </c>
      <c r="K795">
        <v>108462353</v>
      </c>
      <c r="L795" s="2">
        <v>46124</v>
      </c>
      <c r="M795">
        <v>30</v>
      </c>
      <c r="N795">
        <v>1</v>
      </c>
      <c r="O795">
        <v>8</v>
      </c>
      <c r="P795">
        <v>1</v>
      </c>
      <c r="Q795" t="s">
        <v>7</v>
      </c>
    </row>
    <row r="796" spans="1:17">
      <c r="A796" t="s">
        <v>1021</v>
      </c>
      <c r="B796" s="673" t="s">
        <v>967</v>
      </c>
      <c r="C796">
        <v>0</v>
      </c>
      <c r="E796" t="s">
        <v>1029</v>
      </c>
      <c r="F796" t="s">
        <v>1019</v>
      </c>
      <c r="G796" s="673" t="s">
        <v>960</v>
      </c>
      <c r="H796">
        <v>0.91100000000000003</v>
      </c>
      <c r="J796" s="1" t="s">
        <v>770</v>
      </c>
      <c r="K796">
        <v>105257907</v>
      </c>
      <c r="L796" s="2">
        <v>43018</v>
      </c>
      <c r="M796">
        <v>21</v>
      </c>
      <c r="N796">
        <v>2</v>
      </c>
      <c r="O796">
        <v>8</v>
      </c>
      <c r="P796">
        <v>1</v>
      </c>
      <c r="Q796" t="s">
        <v>7</v>
      </c>
    </row>
    <row r="797" spans="1:17">
      <c r="A797" t="s">
        <v>1021</v>
      </c>
      <c r="B797" s="673" t="s">
        <v>967</v>
      </c>
      <c r="C797">
        <v>0</v>
      </c>
      <c r="E797" t="s">
        <v>1029</v>
      </c>
      <c r="F797" t="s">
        <v>1019</v>
      </c>
      <c r="G797" s="673" t="s">
        <v>960</v>
      </c>
      <c r="H797">
        <v>0.91100000000000003</v>
      </c>
      <c r="J797" s="1" t="s">
        <v>770</v>
      </c>
      <c r="K797">
        <v>106211354</v>
      </c>
      <c r="L797" s="2">
        <v>43880</v>
      </c>
      <c r="M797">
        <v>21</v>
      </c>
      <c r="N797">
        <v>2</v>
      </c>
      <c r="O797">
        <v>0</v>
      </c>
      <c r="P797">
        <v>1</v>
      </c>
      <c r="Q797" t="s">
        <v>7</v>
      </c>
    </row>
    <row r="798" spans="1:17">
      <c r="A798" t="s">
        <v>1021</v>
      </c>
      <c r="B798" t="s">
        <v>1029</v>
      </c>
      <c r="C798">
        <v>0</v>
      </c>
      <c r="E798" s="673" t="s">
        <v>967</v>
      </c>
      <c r="F798" s="675" t="s">
        <v>966</v>
      </c>
      <c r="G798" s="673" t="s">
        <v>960</v>
      </c>
      <c r="H798">
        <v>0.91100000000000003</v>
      </c>
      <c r="J798" s="1" t="s">
        <v>770</v>
      </c>
      <c r="K798">
        <v>108463514</v>
      </c>
      <c r="L798" s="2">
        <v>46125</v>
      </c>
      <c r="M798">
        <v>19</v>
      </c>
      <c r="N798">
        <v>1</v>
      </c>
      <c r="O798">
        <v>0</v>
      </c>
      <c r="P798">
        <v>1</v>
      </c>
      <c r="Q798" t="s">
        <v>7</v>
      </c>
    </row>
    <row r="799" spans="1:17">
      <c r="A799" t="s">
        <v>1021</v>
      </c>
      <c r="B799" s="673" t="s">
        <v>967</v>
      </c>
      <c r="C799">
        <v>5.7000000000000002E-2</v>
      </c>
      <c r="D799" t="s">
        <v>6</v>
      </c>
      <c r="E799" t="s">
        <v>1029</v>
      </c>
      <c r="F799" t="s">
        <v>1019</v>
      </c>
      <c r="G799" s="673" t="s">
        <v>960</v>
      </c>
      <c r="H799">
        <v>0.96799999999999997</v>
      </c>
      <c r="J799" s="1" t="s">
        <v>770</v>
      </c>
      <c r="K799">
        <v>106802305</v>
      </c>
      <c r="L799" s="2">
        <v>44490</v>
      </c>
      <c r="M799">
        <v>21</v>
      </c>
      <c r="N799">
        <v>1</v>
      </c>
      <c r="O799">
        <v>0</v>
      </c>
      <c r="P799">
        <v>1</v>
      </c>
      <c r="Q799" t="s">
        <v>3</v>
      </c>
    </row>
    <row r="800" spans="1:17">
      <c r="A800" t="s">
        <v>1021</v>
      </c>
      <c r="B800" s="673" t="s">
        <v>967</v>
      </c>
      <c r="C800">
        <v>0.1</v>
      </c>
      <c r="D800" t="s">
        <v>757</v>
      </c>
      <c r="E800" t="s">
        <v>1019</v>
      </c>
      <c r="F800" t="s">
        <v>1029</v>
      </c>
      <c r="G800" s="673" t="s">
        <v>960</v>
      </c>
      <c r="H800">
        <v>1.1439999999999999</v>
      </c>
      <c r="J800" s="1" t="s">
        <v>770</v>
      </c>
      <c r="K800">
        <v>107149996</v>
      </c>
      <c r="L800" s="2">
        <v>44866</v>
      </c>
      <c r="M800">
        <v>22</v>
      </c>
      <c r="N800">
        <v>1</v>
      </c>
      <c r="O800">
        <v>0</v>
      </c>
      <c r="P800">
        <v>1</v>
      </c>
      <c r="Q800" t="s">
        <v>7</v>
      </c>
    </row>
    <row r="801" spans="1:17">
      <c r="A801" t="s">
        <v>1017</v>
      </c>
      <c r="B801" s="673" t="s">
        <v>967</v>
      </c>
      <c r="C801">
        <v>7.0000000000000007E-2</v>
      </c>
      <c r="D801" t="s">
        <v>758</v>
      </c>
      <c r="E801" s="675" t="s">
        <v>1018</v>
      </c>
      <c r="F801" t="s">
        <v>1019</v>
      </c>
      <c r="G801" s="673" t="s">
        <v>960</v>
      </c>
      <c r="H801">
        <v>1.292</v>
      </c>
      <c r="J801" s="1" t="s">
        <v>770</v>
      </c>
      <c r="K801">
        <v>105138045</v>
      </c>
      <c r="L801" s="2">
        <v>42888</v>
      </c>
      <c r="M801">
        <v>30</v>
      </c>
      <c r="N801">
        <v>1</v>
      </c>
      <c r="O801">
        <v>0</v>
      </c>
      <c r="P801">
        <v>1</v>
      </c>
      <c r="Q801" t="s">
        <v>8</v>
      </c>
    </row>
    <row r="802" spans="1:17">
      <c r="A802" t="s">
        <v>1021</v>
      </c>
      <c r="B802" s="673" t="s">
        <v>967</v>
      </c>
      <c r="C802">
        <v>0</v>
      </c>
      <c r="E802" s="675" t="s">
        <v>1018</v>
      </c>
      <c r="F802" t="s">
        <v>1019</v>
      </c>
      <c r="G802" s="673" t="s">
        <v>960</v>
      </c>
      <c r="H802">
        <v>1.3620000000000001</v>
      </c>
      <c r="J802" s="1" t="s">
        <v>770</v>
      </c>
      <c r="K802">
        <v>106529572</v>
      </c>
      <c r="L802" s="2">
        <v>44202</v>
      </c>
      <c r="M802">
        <v>26</v>
      </c>
      <c r="N802">
        <v>1</v>
      </c>
      <c r="O802">
        <v>8</v>
      </c>
      <c r="P802">
        <v>5</v>
      </c>
    </row>
    <row r="803" spans="1:17">
      <c r="A803" t="s">
        <v>1021</v>
      </c>
      <c r="B803" s="675" t="s">
        <v>1018</v>
      </c>
      <c r="C803">
        <v>0</v>
      </c>
      <c r="E803" s="673" t="s">
        <v>967</v>
      </c>
      <c r="F803" t="s">
        <v>1019</v>
      </c>
      <c r="G803" s="673" t="s">
        <v>960</v>
      </c>
      <c r="H803">
        <v>1.3620000000000001</v>
      </c>
      <c r="J803" s="1" t="s">
        <v>770</v>
      </c>
      <c r="K803">
        <v>108476825</v>
      </c>
      <c r="L803" s="2">
        <v>46137</v>
      </c>
      <c r="M803">
        <v>26</v>
      </c>
      <c r="N803">
        <v>1</v>
      </c>
      <c r="O803">
        <v>8</v>
      </c>
      <c r="P803">
        <v>1</v>
      </c>
      <c r="Q803" t="s">
        <v>7</v>
      </c>
    </row>
    <row r="804" spans="1:17">
      <c r="A804" t="s">
        <v>1021</v>
      </c>
      <c r="B804" t="s">
        <v>1151</v>
      </c>
      <c r="C804">
        <v>0</v>
      </c>
      <c r="E804" s="672" t="s">
        <v>962</v>
      </c>
      <c r="F804" s="674" t="s">
        <v>968</v>
      </c>
      <c r="G804" t="s">
        <v>1151</v>
      </c>
      <c r="H804">
        <v>999.99900000000002</v>
      </c>
      <c r="J804" s="1" t="s">
        <v>770</v>
      </c>
      <c r="K804">
        <v>106976431</v>
      </c>
      <c r="L804" s="2">
        <v>44714</v>
      </c>
      <c r="M804">
        <v>21</v>
      </c>
      <c r="N804">
        <v>1</v>
      </c>
      <c r="O804">
        <v>0</v>
      </c>
      <c r="P804">
        <v>1</v>
      </c>
      <c r="Q804" t="s">
        <v>3</v>
      </c>
    </row>
    <row r="805" spans="1:17">
      <c r="A805" t="s">
        <v>1021</v>
      </c>
      <c r="B805" t="s">
        <v>1062</v>
      </c>
      <c r="C805">
        <v>0</v>
      </c>
      <c r="E805" s="672" t="s">
        <v>965</v>
      </c>
      <c r="F805" t="s">
        <v>1090</v>
      </c>
      <c r="G805" t="s">
        <v>1091</v>
      </c>
      <c r="H805">
        <v>0.38800000000000001</v>
      </c>
      <c r="J805" s="1" t="s">
        <v>770</v>
      </c>
      <c r="K805">
        <v>105186093</v>
      </c>
      <c r="L805" s="2">
        <v>42940</v>
      </c>
      <c r="M805">
        <v>30</v>
      </c>
      <c r="N805">
        <v>1</v>
      </c>
      <c r="O805">
        <v>8</v>
      </c>
      <c r="P805">
        <v>1</v>
      </c>
      <c r="Q805" t="s">
        <v>8</v>
      </c>
    </row>
    <row r="806" spans="1:17">
      <c r="A806" t="s">
        <v>1021</v>
      </c>
      <c r="B806" t="s">
        <v>1062</v>
      </c>
      <c r="C806">
        <v>0</v>
      </c>
      <c r="E806" s="672" t="s">
        <v>965</v>
      </c>
      <c r="F806" t="s">
        <v>1061</v>
      </c>
      <c r="G806" t="s">
        <v>1091</v>
      </c>
      <c r="H806">
        <v>0.38800000000000001</v>
      </c>
      <c r="J806" s="1" t="s">
        <v>770</v>
      </c>
      <c r="K806">
        <v>108328839</v>
      </c>
      <c r="L806" s="2">
        <v>45995</v>
      </c>
      <c r="M806">
        <v>28</v>
      </c>
      <c r="N806">
        <v>1</v>
      </c>
      <c r="O806">
        <v>7</v>
      </c>
      <c r="P806">
        <v>1</v>
      </c>
      <c r="Q806" t="s">
        <v>3</v>
      </c>
    </row>
    <row r="807" spans="1:17">
      <c r="A807" t="s">
        <v>1021</v>
      </c>
      <c r="B807" t="s">
        <v>1062</v>
      </c>
      <c r="C807">
        <v>0</v>
      </c>
      <c r="E807" s="672" t="s">
        <v>965</v>
      </c>
      <c r="F807" t="s">
        <v>1127</v>
      </c>
      <c r="G807" t="s">
        <v>1091</v>
      </c>
      <c r="H807">
        <v>0.38800000000000001</v>
      </c>
      <c r="J807" s="1" t="s">
        <v>770</v>
      </c>
      <c r="K807">
        <v>106502173</v>
      </c>
      <c r="L807" s="2">
        <v>44200</v>
      </c>
      <c r="M807">
        <v>30</v>
      </c>
      <c r="N807">
        <v>1</v>
      </c>
      <c r="O807">
        <v>9</v>
      </c>
      <c r="P807">
        <v>1</v>
      </c>
      <c r="Q807" t="s">
        <v>3</v>
      </c>
    </row>
    <row r="808" spans="1:17">
      <c r="A808" t="s">
        <v>1021</v>
      </c>
      <c r="B808" t="s">
        <v>1033</v>
      </c>
      <c r="C808">
        <v>2.8000000000000001E-2</v>
      </c>
      <c r="D808" t="s">
        <v>757</v>
      </c>
      <c r="E808" s="672" t="s">
        <v>965</v>
      </c>
      <c r="F808" t="s">
        <v>1032</v>
      </c>
      <c r="G808" s="672" t="s">
        <v>1036</v>
      </c>
      <c r="H808">
        <v>0.45200000000000001</v>
      </c>
      <c r="I808" t="s">
        <v>61</v>
      </c>
      <c r="J808" s="1" t="s">
        <v>770</v>
      </c>
      <c r="K808">
        <v>107758802</v>
      </c>
      <c r="L808" s="2">
        <v>45464</v>
      </c>
      <c r="M808">
        <v>21</v>
      </c>
      <c r="N808">
        <v>1</v>
      </c>
      <c r="O808">
        <v>0</v>
      </c>
      <c r="P808">
        <v>1</v>
      </c>
      <c r="Q808" t="s">
        <v>7</v>
      </c>
    </row>
    <row r="809" spans="1:17">
      <c r="A809" t="s">
        <v>1021</v>
      </c>
      <c r="B809" t="s">
        <v>1035</v>
      </c>
      <c r="C809">
        <v>1.4999999999999999E-2</v>
      </c>
      <c r="D809" t="s">
        <v>763</v>
      </c>
      <c r="E809" s="672" t="s">
        <v>965</v>
      </c>
      <c r="F809" t="s">
        <v>1033</v>
      </c>
      <c r="G809" s="672" t="s">
        <v>1036</v>
      </c>
      <c r="H809">
        <v>0.46500000000000002</v>
      </c>
      <c r="J809" s="1" t="s">
        <v>770</v>
      </c>
      <c r="K809">
        <v>108357136</v>
      </c>
      <c r="L809" s="2">
        <v>46021</v>
      </c>
      <c r="M809">
        <v>30</v>
      </c>
      <c r="N809">
        <v>1</v>
      </c>
      <c r="O809">
        <v>0</v>
      </c>
      <c r="P809">
        <v>1</v>
      </c>
      <c r="Q809" t="s">
        <v>7</v>
      </c>
    </row>
    <row r="810" spans="1:17">
      <c r="A810" t="s">
        <v>1021</v>
      </c>
      <c r="B810" t="s">
        <v>1035</v>
      </c>
      <c r="C810">
        <v>2E-3</v>
      </c>
      <c r="D810" t="s">
        <v>763</v>
      </c>
      <c r="E810" s="672" t="s">
        <v>965</v>
      </c>
      <c r="F810" t="s">
        <v>1033</v>
      </c>
      <c r="G810" s="672" t="s">
        <v>1036</v>
      </c>
      <c r="H810">
        <v>0.47799999999999998</v>
      </c>
      <c r="J810" s="1" t="s">
        <v>770</v>
      </c>
      <c r="K810">
        <v>107722068</v>
      </c>
      <c r="L810" s="2">
        <v>45429</v>
      </c>
      <c r="M810">
        <v>21</v>
      </c>
      <c r="N810">
        <v>1</v>
      </c>
      <c r="O810">
        <v>12</v>
      </c>
      <c r="P810">
        <v>4</v>
      </c>
      <c r="Q810" t="s">
        <v>7</v>
      </c>
    </row>
    <row r="811" spans="1:17">
      <c r="A811" t="s">
        <v>1021</v>
      </c>
      <c r="B811" t="s">
        <v>1033</v>
      </c>
      <c r="C811">
        <v>0</v>
      </c>
      <c r="E811" s="672" t="s">
        <v>965</v>
      </c>
      <c r="F811" t="s">
        <v>1032</v>
      </c>
      <c r="G811" s="672" t="s">
        <v>1036</v>
      </c>
      <c r="H811">
        <v>0.48</v>
      </c>
      <c r="I811" t="s">
        <v>61</v>
      </c>
      <c r="J811" s="1" t="s">
        <v>770</v>
      </c>
      <c r="K811">
        <v>106997557</v>
      </c>
      <c r="L811" s="2">
        <v>44737</v>
      </c>
      <c r="M811">
        <v>23</v>
      </c>
      <c r="N811">
        <v>1</v>
      </c>
      <c r="O811">
        <v>7</v>
      </c>
      <c r="P811">
        <v>2</v>
      </c>
      <c r="Q811" t="s">
        <v>7</v>
      </c>
    </row>
    <row r="812" spans="1:17">
      <c r="A812" t="s">
        <v>1021</v>
      </c>
      <c r="B812" t="s">
        <v>1035</v>
      </c>
      <c r="C812">
        <v>0</v>
      </c>
      <c r="D812" t="s">
        <v>758</v>
      </c>
      <c r="E812" s="672" t="s">
        <v>965</v>
      </c>
      <c r="F812" t="s">
        <v>1033</v>
      </c>
      <c r="G812" s="672" t="s">
        <v>1036</v>
      </c>
      <c r="H812">
        <v>0.48</v>
      </c>
      <c r="J812" s="1" t="s">
        <v>770</v>
      </c>
      <c r="K812">
        <v>108489046</v>
      </c>
      <c r="L812" s="2">
        <v>46148</v>
      </c>
      <c r="M812">
        <v>21</v>
      </c>
      <c r="N812">
        <v>1</v>
      </c>
      <c r="O812">
        <v>7</v>
      </c>
      <c r="P812">
        <v>1</v>
      </c>
      <c r="Q812" t="s">
        <v>7</v>
      </c>
    </row>
    <row r="813" spans="1:17">
      <c r="A813" t="s">
        <v>1021</v>
      </c>
      <c r="B813" t="s">
        <v>1035</v>
      </c>
      <c r="C813">
        <v>0</v>
      </c>
      <c r="E813" s="672" t="s">
        <v>965</v>
      </c>
      <c r="F813" t="s">
        <v>1033</v>
      </c>
      <c r="G813" s="672" t="s">
        <v>1036</v>
      </c>
      <c r="H813">
        <v>0.48</v>
      </c>
      <c r="J813" s="1" t="s">
        <v>770</v>
      </c>
      <c r="K813">
        <v>108089427</v>
      </c>
      <c r="L813" s="2">
        <v>45771</v>
      </c>
      <c r="M813">
        <v>23</v>
      </c>
      <c r="N813">
        <v>1</v>
      </c>
      <c r="O813">
        <v>7</v>
      </c>
      <c r="P813">
        <v>1</v>
      </c>
      <c r="Q813" t="s">
        <v>3</v>
      </c>
    </row>
    <row r="814" spans="1:17">
      <c r="A814" t="s">
        <v>1021</v>
      </c>
      <c r="B814" t="s">
        <v>1035</v>
      </c>
      <c r="C814">
        <v>1.4E-2</v>
      </c>
      <c r="D814" t="s">
        <v>6</v>
      </c>
      <c r="E814" s="672" t="s">
        <v>965</v>
      </c>
      <c r="F814" t="s">
        <v>1033</v>
      </c>
      <c r="G814" s="672" t="s">
        <v>1036</v>
      </c>
      <c r="H814">
        <v>0.48</v>
      </c>
      <c r="J814" s="1" t="s">
        <v>770</v>
      </c>
      <c r="K814">
        <v>107808872</v>
      </c>
      <c r="L814" s="2">
        <v>45509</v>
      </c>
      <c r="M814">
        <v>24</v>
      </c>
      <c r="N814">
        <v>1</v>
      </c>
      <c r="O814">
        <v>0</v>
      </c>
      <c r="P814">
        <v>1</v>
      </c>
      <c r="Q814" t="s">
        <v>7</v>
      </c>
    </row>
    <row r="815" spans="1:17">
      <c r="A815" t="s">
        <v>1021</v>
      </c>
      <c r="B815" t="s">
        <v>1035</v>
      </c>
      <c r="C815">
        <v>0</v>
      </c>
      <c r="E815" s="672" t="s">
        <v>965</v>
      </c>
      <c r="F815" t="s">
        <v>1033</v>
      </c>
      <c r="G815" s="672" t="s">
        <v>1036</v>
      </c>
      <c r="H815">
        <v>0.48</v>
      </c>
      <c r="J815" s="1" t="s">
        <v>770</v>
      </c>
      <c r="K815">
        <v>106350385</v>
      </c>
      <c r="L815" s="2">
        <v>44060</v>
      </c>
      <c r="M815">
        <v>28</v>
      </c>
      <c r="N815">
        <v>1</v>
      </c>
      <c r="P815">
        <v>1</v>
      </c>
      <c r="Q815" t="s">
        <v>7</v>
      </c>
    </row>
    <row r="816" spans="1:17">
      <c r="A816" t="s">
        <v>1021</v>
      </c>
      <c r="B816" s="672" t="s">
        <v>965</v>
      </c>
      <c r="C816">
        <v>5.0999999999999997E-2</v>
      </c>
      <c r="D816" t="s">
        <v>762</v>
      </c>
      <c r="E816" t="s">
        <v>1032</v>
      </c>
      <c r="F816" t="s">
        <v>1033</v>
      </c>
      <c r="G816" s="672" t="s">
        <v>1036</v>
      </c>
      <c r="H816">
        <v>0.48099999999999998</v>
      </c>
      <c r="J816" s="1" t="s">
        <v>770</v>
      </c>
      <c r="K816">
        <v>107045221</v>
      </c>
      <c r="L816" s="2">
        <v>44785</v>
      </c>
      <c r="M816">
        <v>21</v>
      </c>
      <c r="N816">
        <v>1</v>
      </c>
      <c r="O816">
        <v>0</v>
      </c>
      <c r="P816">
        <v>1</v>
      </c>
      <c r="Q816" t="s">
        <v>7</v>
      </c>
    </row>
    <row r="817" spans="1:17">
      <c r="A817" t="s">
        <v>1021</v>
      </c>
      <c r="B817" t="s">
        <v>1033</v>
      </c>
      <c r="C817">
        <v>3.0000000000000001E-3</v>
      </c>
      <c r="D817" t="s">
        <v>756</v>
      </c>
      <c r="E817" s="672" t="s">
        <v>965</v>
      </c>
      <c r="F817" t="s">
        <v>1032</v>
      </c>
      <c r="G817" s="672" t="s">
        <v>1036</v>
      </c>
      <c r="H817">
        <v>0.48299999999999998</v>
      </c>
      <c r="I817" t="s">
        <v>61</v>
      </c>
      <c r="J817" s="1" t="s">
        <v>770</v>
      </c>
      <c r="K817">
        <v>107879445</v>
      </c>
      <c r="L817" s="2">
        <v>45574</v>
      </c>
      <c r="M817">
        <v>21</v>
      </c>
      <c r="N817">
        <v>1</v>
      </c>
      <c r="O817">
        <v>0</v>
      </c>
      <c r="P817">
        <v>1</v>
      </c>
      <c r="Q817" t="s">
        <v>7</v>
      </c>
    </row>
    <row r="818" spans="1:17">
      <c r="A818" t="s">
        <v>1021</v>
      </c>
      <c r="B818" s="672" t="s">
        <v>965</v>
      </c>
      <c r="C818">
        <v>1.9E-2</v>
      </c>
      <c r="D818" t="s">
        <v>762</v>
      </c>
      <c r="E818" t="s">
        <v>1033</v>
      </c>
      <c r="F818" t="s">
        <v>1025</v>
      </c>
      <c r="G818" s="672" t="s">
        <v>1036</v>
      </c>
      <c r="H818">
        <v>0.499</v>
      </c>
      <c r="J818" s="1" t="s">
        <v>770</v>
      </c>
      <c r="K818">
        <v>107852787</v>
      </c>
      <c r="L818" s="2">
        <v>45551</v>
      </c>
      <c r="M818">
        <v>21</v>
      </c>
      <c r="N818">
        <v>2</v>
      </c>
      <c r="O818">
        <v>12</v>
      </c>
      <c r="P818">
        <v>1</v>
      </c>
      <c r="Q818" t="s">
        <v>7</v>
      </c>
    </row>
    <row r="819" spans="1:17">
      <c r="A819" t="s">
        <v>1021</v>
      </c>
      <c r="B819" s="672" t="s">
        <v>965</v>
      </c>
      <c r="C819">
        <v>7.4999999999999997E-2</v>
      </c>
      <c r="D819" t="s">
        <v>756</v>
      </c>
      <c r="E819" t="s">
        <v>1032</v>
      </c>
      <c r="F819" t="s">
        <v>1035</v>
      </c>
      <c r="G819" s="672" t="s">
        <v>1036</v>
      </c>
      <c r="H819">
        <v>0.505</v>
      </c>
      <c r="J819" s="1" t="s">
        <v>770</v>
      </c>
      <c r="K819">
        <v>107233455</v>
      </c>
      <c r="L819" s="2">
        <v>44961</v>
      </c>
      <c r="M819">
        <v>21</v>
      </c>
      <c r="N819">
        <v>1</v>
      </c>
      <c r="O819">
        <v>7</v>
      </c>
      <c r="P819">
        <v>1</v>
      </c>
      <c r="Q819" t="s">
        <v>7</v>
      </c>
    </row>
    <row r="820" spans="1:17">
      <c r="A820" t="s">
        <v>1021</v>
      </c>
      <c r="B820" s="672" t="s">
        <v>965</v>
      </c>
      <c r="C820">
        <v>3.7999999999999999E-2</v>
      </c>
      <c r="D820" t="s">
        <v>756</v>
      </c>
      <c r="E820" t="s">
        <v>1033</v>
      </c>
      <c r="F820" t="s">
        <v>1026</v>
      </c>
      <c r="G820" s="672" t="s">
        <v>1036</v>
      </c>
      <c r="H820">
        <v>0.51800000000000002</v>
      </c>
      <c r="J820" s="1" t="s">
        <v>770</v>
      </c>
      <c r="K820">
        <v>107590484</v>
      </c>
      <c r="L820" s="2">
        <v>45301</v>
      </c>
      <c r="M820">
        <v>21</v>
      </c>
      <c r="N820">
        <v>1</v>
      </c>
      <c r="O820">
        <v>0</v>
      </c>
      <c r="P820">
        <v>1</v>
      </c>
      <c r="Q820" t="s">
        <v>7</v>
      </c>
    </row>
    <row r="821" spans="1:17">
      <c r="A821" t="s">
        <v>1021</v>
      </c>
      <c r="B821" s="672" t="s">
        <v>965</v>
      </c>
      <c r="C821">
        <v>4.7E-2</v>
      </c>
      <c r="D821" t="s">
        <v>758</v>
      </c>
      <c r="E821" t="s">
        <v>1026</v>
      </c>
      <c r="F821" t="s">
        <v>1097</v>
      </c>
      <c r="G821" s="672" t="s">
        <v>1036</v>
      </c>
      <c r="H821">
        <v>0.59599999999999997</v>
      </c>
      <c r="J821" s="1" t="s">
        <v>770</v>
      </c>
      <c r="K821">
        <v>107548958</v>
      </c>
      <c r="L821" s="2">
        <v>45261</v>
      </c>
      <c r="M821">
        <v>1</v>
      </c>
      <c r="N821">
        <v>1</v>
      </c>
      <c r="O821">
        <v>0</v>
      </c>
      <c r="P821">
        <v>4</v>
      </c>
      <c r="Q821" t="s">
        <v>3</v>
      </c>
    </row>
    <row r="822" spans="1:17">
      <c r="A822" t="s">
        <v>1021</v>
      </c>
      <c r="B822" t="s">
        <v>1026</v>
      </c>
      <c r="C822">
        <v>0</v>
      </c>
      <c r="E822" s="672" t="s">
        <v>965</v>
      </c>
      <c r="F822" t="s">
        <v>1120</v>
      </c>
      <c r="G822" s="672" t="s">
        <v>1036</v>
      </c>
      <c r="H822">
        <v>0.64300000000000002</v>
      </c>
      <c r="J822" s="1" t="s">
        <v>770</v>
      </c>
      <c r="K822">
        <v>106223035</v>
      </c>
      <c r="L822" s="2">
        <v>43897</v>
      </c>
      <c r="M822">
        <v>30</v>
      </c>
      <c r="N822">
        <v>1</v>
      </c>
      <c r="O822">
        <v>7</v>
      </c>
      <c r="P822">
        <v>1</v>
      </c>
      <c r="Q822" t="s">
        <v>7</v>
      </c>
    </row>
    <row r="823" spans="1:17">
      <c r="A823" t="s">
        <v>1021</v>
      </c>
      <c r="B823" t="s">
        <v>1026</v>
      </c>
      <c r="C823">
        <v>0</v>
      </c>
      <c r="D823" t="s">
        <v>756</v>
      </c>
      <c r="E823" s="672" t="s">
        <v>965</v>
      </c>
      <c r="F823" t="s">
        <v>1133</v>
      </c>
      <c r="G823" s="672" t="s">
        <v>1036</v>
      </c>
      <c r="H823">
        <v>0.64300000000000002</v>
      </c>
      <c r="J823" s="1" t="s">
        <v>770</v>
      </c>
      <c r="K823">
        <v>108025715</v>
      </c>
      <c r="L823" s="2">
        <v>45707</v>
      </c>
      <c r="M823">
        <v>19</v>
      </c>
      <c r="N823">
        <v>4</v>
      </c>
      <c r="O823">
        <v>0</v>
      </c>
      <c r="P823">
        <v>1</v>
      </c>
      <c r="Q823" t="s">
        <v>7</v>
      </c>
    </row>
    <row r="824" spans="1:17">
      <c r="A824" t="s">
        <v>1021</v>
      </c>
      <c r="B824" t="s">
        <v>1026</v>
      </c>
      <c r="C824">
        <v>0</v>
      </c>
      <c r="E824" s="672" t="s">
        <v>965</v>
      </c>
      <c r="F824" t="s">
        <v>1098</v>
      </c>
      <c r="G824" s="672" t="s">
        <v>1036</v>
      </c>
      <c r="H824">
        <v>0.64300000000000002</v>
      </c>
      <c r="J824" s="1" t="s">
        <v>770</v>
      </c>
      <c r="K824">
        <v>105645889</v>
      </c>
      <c r="L824" s="2">
        <v>43378</v>
      </c>
      <c r="M824">
        <v>21</v>
      </c>
      <c r="N824">
        <v>1</v>
      </c>
      <c r="O824">
        <v>0</v>
      </c>
      <c r="P824">
        <v>1</v>
      </c>
      <c r="Q824" t="s">
        <v>7</v>
      </c>
    </row>
    <row r="825" spans="1:17">
      <c r="A825" t="s">
        <v>1021</v>
      </c>
      <c r="B825" t="s">
        <v>1026</v>
      </c>
      <c r="C825">
        <v>0</v>
      </c>
      <c r="E825" s="672" t="s">
        <v>965</v>
      </c>
      <c r="F825" t="s">
        <v>1055</v>
      </c>
      <c r="G825" s="672" t="s">
        <v>1036</v>
      </c>
      <c r="H825">
        <v>0.64300000000000002</v>
      </c>
      <c r="J825" s="1" t="s">
        <v>770</v>
      </c>
      <c r="K825">
        <v>108424121</v>
      </c>
      <c r="L825" s="2">
        <v>46089</v>
      </c>
      <c r="M825">
        <v>1</v>
      </c>
      <c r="N825">
        <v>1</v>
      </c>
      <c r="O825">
        <v>0</v>
      </c>
      <c r="P825">
        <v>4</v>
      </c>
      <c r="Q825" t="s">
        <v>7</v>
      </c>
    </row>
    <row r="826" spans="1:17">
      <c r="A826" t="s">
        <v>1021</v>
      </c>
      <c r="B826" t="s">
        <v>1026</v>
      </c>
      <c r="C826">
        <v>0</v>
      </c>
      <c r="E826" s="672" t="s">
        <v>965</v>
      </c>
      <c r="F826" t="s">
        <v>1055</v>
      </c>
      <c r="G826" s="672" t="s">
        <v>1036</v>
      </c>
      <c r="H826">
        <v>0.64300000000000002</v>
      </c>
      <c r="J826" s="1" t="s">
        <v>770</v>
      </c>
      <c r="K826">
        <v>108226397</v>
      </c>
      <c r="L826" s="2">
        <v>45911</v>
      </c>
      <c r="M826">
        <v>30</v>
      </c>
      <c r="N826">
        <v>1</v>
      </c>
      <c r="O826">
        <v>9</v>
      </c>
      <c r="P826">
        <v>4</v>
      </c>
      <c r="Q826" t="s">
        <v>7</v>
      </c>
    </row>
    <row r="827" spans="1:17">
      <c r="A827" t="s">
        <v>1021</v>
      </c>
      <c r="B827" t="s">
        <v>1026</v>
      </c>
      <c r="C827">
        <v>0</v>
      </c>
      <c r="E827" s="672" t="s">
        <v>965</v>
      </c>
      <c r="F827" t="s">
        <v>1097</v>
      </c>
      <c r="G827" s="672" t="s">
        <v>1036</v>
      </c>
      <c r="H827">
        <v>0.64300000000000002</v>
      </c>
      <c r="J827" s="1" t="s">
        <v>770</v>
      </c>
      <c r="K827">
        <v>106471975</v>
      </c>
      <c r="L827" s="2">
        <v>44183</v>
      </c>
      <c r="M827">
        <v>2</v>
      </c>
      <c r="N827">
        <v>1</v>
      </c>
      <c r="O827">
        <v>9</v>
      </c>
      <c r="P827">
        <v>5</v>
      </c>
      <c r="Q827" t="s">
        <v>7</v>
      </c>
    </row>
    <row r="828" spans="1:17">
      <c r="A828" t="s">
        <v>1021</v>
      </c>
      <c r="B828" t="s">
        <v>1026</v>
      </c>
      <c r="C828">
        <v>0</v>
      </c>
      <c r="E828" s="672" t="s">
        <v>965</v>
      </c>
      <c r="F828" t="s">
        <v>1097</v>
      </c>
      <c r="G828" s="672" t="s">
        <v>1036</v>
      </c>
      <c r="H828">
        <v>0.64300000000000002</v>
      </c>
      <c r="J828" s="1" t="s">
        <v>770</v>
      </c>
      <c r="K828">
        <v>106922214</v>
      </c>
      <c r="L828" s="2">
        <v>44665</v>
      </c>
      <c r="M828">
        <v>2</v>
      </c>
      <c r="N828">
        <v>1</v>
      </c>
      <c r="O828">
        <v>9</v>
      </c>
      <c r="P828">
        <v>4</v>
      </c>
    </row>
    <row r="829" spans="1:17">
      <c r="A829" t="s">
        <v>1021</v>
      </c>
      <c r="B829" t="s">
        <v>1026</v>
      </c>
      <c r="C829">
        <v>0</v>
      </c>
      <c r="E829" s="672" t="s">
        <v>965</v>
      </c>
      <c r="G829" s="672" t="s">
        <v>1036</v>
      </c>
      <c r="H829">
        <v>0.64300000000000002</v>
      </c>
      <c r="J829" s="1" t="s">
        <v>770</v>
      </c>
      <c r="K829">
        <v>107173187</v>
      </c>
      <c r="L829" s="2">
        <v>44390</v>
      </c>
      <c r="M829">
        <v>2</v>
      </c>
      <c r="N829">
        <v>1</v>
      </c>
      <c r="O829">
        <v>0</v>
      </c>
      <c r="P829">
        <v>5</v>
      </c>
      <c r="Q829" t="s">
        <v>7</v>
      </c>
    </row>
    <row r="830" spans="1:17">
      <c r="A830" t="s">
        <v>1021</v>
      </c>
      <c r="B830" t="s">
        <v>1026</v>
      </c>
      <c r="C830">
        <v>0</v>
      </c>
      <c r="E830" s="672" t="s">
        <v>965</v>
      </c>
      <c r="G830" s="672" t="s">
        <v>1036</v>
      </c>
      <c r="H830">
        <v>0.64300000000000002</v>
      </c>
      <c r="J830" s="1" t="s">
        <v>770</v>
      </c>
      <c r="K830">
        <v>107343046</v>
      </c>
      <c r="L830" s="2">
        <v>45069</v>
      </c>
      <c r="M830">
        <v>24</v>
      </c>
      <c r="N830">
        <v>1</v>
      </c>
      <c r="O830">
        <v>9</v>
      </c>
      <c r="P830">
        <v>1</v>
      </c>
      <c r="Q830" t="s">
        <v>7</v>
      </c>
    </row>
    <row r="831" spans="1:17">
      <c r="A831" t="s">
        <v>1021</v>
      </c>
      <c r="B831" t="s">
        <v>1026</v>
      </c>
      <c r="C831">
        <v>0</v>
      </c>
      <c r="E831" s="672" t="s">
        <v>965</v>
      </c>
      <c r="G831" s="672" t="s">
        <v>1036</v>
      </c>
      <c r="H831">
        <v>0.64300000000000002</v>
      </c>
      <c r="J831" s="1" t="s">
        <v>770</v>
      </c>
      <c r="K831">
        <v>108476135</v>
      </c>
      <c r="L831" s="2">
        <v>46136</v>
      </c>
      <c r="M831">
        <v>26</v>
      </c>
      <c r="N831">
        <v>1</v>
      </c>
      <c r="O831">
        <v>0</v>
      </c>
      <c r="P831">
        <v>1</v>
      </c>
      <c r="Q831" t="s">
        <v>7</v>
      </c>
    </row>
    <row r="832" spans="1:17">
      <c r="A832" t="s">
        <v>1021</v>
      </c>
      <c r="B832" s="672" t="s">
        <v>965</v>
      </c>
      <c r="C832">
        <v>0</v>
      </c>
      <c r="E832" t="s">
        <v>1026</v>
      </c>
      <c r="F832" t="s">
        <v>1033</v>
      </c>
      <c r="G832" s="672" t="s">
        <v>1036</v>
      </c>
      <c r="H832">
        <v>0.64300000000000002</v>
      </c>
      <c r="J832" s="1" t="s">
        <v>770</v>
      </c>
      <c r="K832">
        <v>106296413</v>
      </c>
      <c r="L832" s="2">
        <v>43998</v>
      </c>
      <c r="M832">
        <v>2</v>
      </c>
      <c r="N832">
        <v>2</v>
      </c>
      <c r="O832">
        <v>8</v>
      </c>
      <c r="P832">
        <v>1</v>
      </c>
    </row>
    <row r="833" spans="1:17">
      <c r="A833" t="s">
        <v>1021</v>
      </c>
      <c r="B833" s="672" t="s">
        <v>965</v>
      </c>
      <c r="C833">
        <v>0</v>
      </c>
      <c r="E833" t="s">
        <v>1026</v>
      </c>
      <c r="F833" t="s">
        <v>1033</v>
      </c>
      <c r="G833" s="672" t="s">
        <v>1036</v>
      </c>
      <c r="H833">
        <v>0.64300000000000002</v>
      </c>
      <c r="J833" s="1" t="s">
        <v>770</v>
      </c>
      <c r="K833">
        <v>106802276</v>
      </c>
      <c r="L833" s="2">
        <v>44477</v>
      </c>
      <c r="M833">
        <v>18</v>
      </c>
      <c r="N833">
        <v>2</v>
      </c>
      <c r="O833">
        <v>9</v>
      </c>
      <c r="P833">
        <v>1</v>
      </c>
      <c r="Q833" t="s">
        <v>7</v>
      </c>
    </row>
    <row r="834" spans="1:17">
      <c r="A834" t="s">
        <v>1021</v>
      </c>
      <c r="B834" s="672" t="s">
        <v>965</v>
      </c>
      <c r="C834">
        <v>0</v>
      </c>
      <c r="E834" t="s">
        <v>1026</v>
      </c>
      <c r="F834" t="s">
        <v>1033</v>
      </c>
      <c r="G834" s="672" t="s">
        <v>1036</v>
      </c>
      <c r="H834">
        <v>0.64300000000000002</v>
      </c>
      <c r="J834" s="1" t="s">
        <v>770</v>
      </c>
      <c r="K834">
        <v>106802289</v>
      </c>
      <c r="L834" s="2">
        <v>44481</v>
      </c>
      <c r="M834">
        <v>19</v>
      </c>
      <c r="N834">
        <v>1</v>
      </c>
      <c r="O834">
        <v>9</v>
      </c>
      <c r="P834">
        <v>4</v>
      </c>
    </row>
    <row r="835" spans="1:17">
      <c r="A835" t="s">
        <v>1021</v>
      </c>
      <c r="B835" s="672" t="s">
        <v>965</v>
      </c>
      <c r="C835">
        <v>0</v>
      </c>
      <c r="E835" t="s">
        <v>1026</v>
      </c>
      <c r="F835" t="s">
        <v>1025</v>
      </c>
      <c r="G835" s="672" t="s">
        <v>1036</v>
      </c>
      <c r="H835">
        <v>0.64300000000000002</v>
      </c>
      <c r="J835" s="1" t="s">
        <v>770</v>
      </c>
      <c r="K835">
        <v>106802171</v>
      </c>
      <c r="L835" s="2">
        <v>44409</v>
      </c>
      <c r="M835">
        <v>2</v>
      </c>
      <c r="N835">
        <v>1</v>
      </c>
      <c r="O835">
        <v>9</v>
      </c>
      <c r="P835">
        <v>4</v>
      </c>
    </row>
    <row r="836" spans="1:17">
      <c r="A836" t="s">
        <v>1021</v>
      </c>
      <c r="B836" s="672" t="s">
        <v>965</v>
      </c>
      <c r="C836">
        <v>0</v>
      </c>
      <c r="E836" t="s">
        <v>1026</v>
      </c>
      <c r="F836" t="s">
        <v>1055</v>
      </c>
      <c r="G836" s="672" t="s">
        <v>1036</v>
      </c>
      <c r="H836">
        <v>0.64300000000000002</v>
      </c>
      <c r="J836" s="1" t="s">
        <v>770</v>
      </c>
      <c r="K836">
        <v>105806273</v>
      </c>
      <c r="L836" s="2">
        <v>43535</v>
      </c>
      <c r="M836">
        <v>24</v>
      </c>
      <c r="N836">
        <v>1</v>
      </c>
      <c r="O836">
        <v>8</v>
      </c>
      <c r="P836">
        <v>1</v>
      </c>
      <c r="Q836" t="s">
        <v>7</v>
      </c>
    </row>
    <row r="837" spans="1:17">
      <c r="A837" t="s">
        <v>1021</v>
      </c>
      <c r="B837" s="672" t="s">
        <v>965</v>
      </c>
      <c r="C837">
        <v>0</v>
      </c>
      <c r="E837" t="s">
        <v>1026</v>
      </c>
      <c r="G837" s="672" t="s">
        <v>1036</v>
      </c>
      <c r="H837">
        <v>0.64300000000000002</v>
      </c>
      <c r="J837" s="1" t="s">
        <v>770</v>
      </c>
      <c r="K837">
        <v>106586028</v>
      </c>
      <c r="L837" s="2">
        <v>44288</v>
      </c>
      <c r="M837">
        <v>1</v>
      </c>
      <c r="N837">
        <v>1</v>
      </c>
      <c r="P837">
        <v>4</v>
      </c>
    </row>
    <row r="838" spans="1:17">
      <c r="A838" t="s">
        <v>1021</v>
      </c>
      <c r="B838" t="s">
        <v>1026</v>
      </c>
      <c r="C838">
        <v>1.9E-2</v>
      </c>
      <c r="D838" t="s">
        <v>757</v>
      </c>
      <c r="E838" s="672" t="s">
        <v>965</v>
      </c>
      <c r="F838" t="s">
        <v>1055</v>
      </c>
      <c r="G838" s="672" t="s">
        <v>1036</v>
      </c>
      <c r="H838">
        <v>0.66200000000000003</v>
      </c>
      <c r="J838" s="1" t="s">
        <v>770</v>
      </c>
      <c r="K838">
        <v>108159763</v>
      </c>
      <c r="L838" s="2">
        <v>45838</v>
      </c>
      <c r="M838">
        <v>1</v>
      </c>
      <c r="N838">
        <v>1</v>
      </c>
      <c r="O838">
        <v>0</v>
      </c>
      <c r="P838">
        <v>4</v>
      </c>
      <c r="Q838" t="s">
        <v>10</v>
      </c>
    </row>
    <row r="839" spans="1:17">
      <c r="A839" t="s">
        <v>1021</v>
      </c>
      <c r="B839" t="s">
        <v>1026</v>
      </c>
      <c r="C839">
        <v>2.5000000000000001E-2</v>
      </c>
      <c r="D839" t="s">
        <v>764</v>
      </c>
      <c r="E839" s="672" t="s">
        <v>965</v>
      </c>
      <c r="F839" t="s">
        <v>1055</v>
      </c>
      <c r="G839" s="672" t="s">
        <v>1036</v>
      </c>
      <c r="H839">
        <v>0.66800000000000004</v>
      </c>
      <c r="J839" s="1" t="s">
        <v>770</v>
      </c>
      <c r="K839">
        <v>107644548</v>
      </c>
      <c r="L839" s="2">
        <v>45352</v>
      </c>
      <c r="M839">
        <v>1</v>
      </c>
      <c r="N839">
        <v>1</v>
      </c>
      <c r="O839">
        <v>0</v>
      </c>
      <c r="P839">
        <v>4</v>
      </c>
      <c r="Q839" t="s">
        <v>8</v>
      </c>
    </row>
    <row r="840" spans="1:17">
      <c r="A840" t="s">
        <v>1021</v>
      </c>
      <c r="B840" t="s">
        <v>1026</v>
      </c>
      <c r="C840">
        <v>2.8000000000000001E-2</v>
      </c>
      <c r="D840" t="s">
        <v>764</v>
      </c>
      <c r="E840" s="672" t="s">
        <v>965</v>
      </c>
      <c r="F840" t="s">
        <v>1096</v>
      </c>
      <c r="G840" s="672" t="s">
        <v>1036</v>
      </c>
      <c r="H840">
        <v>0.67100000000000004</v>
      </c>
      <c r="J840" s="1" t="s">
        <v>770</v>
      </c>
      <c r="K840">
        <v>105445148</v>
      </c>
      <c r="L840" s="2">
        <v>43179</v>
      </c>
      <c r="M840">
        <v>19</v>
      </c>
      <c r="N840">
        <v>2</v>
      </c>
      <c r="O840">
        <v>0</v>
      </c>
      <c r="P840">
        <v>5</v>
      </c>
      <c r="Q840" t="s">
        <v>7</v>
      </c>
    </row>
    <row r="841" spans="1:17">
      <c r="A841" t="s">
        <v>1021</v>
      </c>
      <c r="B841" s="672" t="s">
        <v>965</v>
      </c>
      <c r="C841">
        <v>0.01</v>
      </c>
      <c r="D841" t="s">
        <v>6</v>
      </c>
      <c r="E841" t="s">
        <v>1026</v>
      </c>
      <c r="F841" t="s">
        <v>1097</v>
      </c>
      <c r="G841" s="672" t="s">
        <v>1063</v>
      </c>
      <c r="H841">
        <v>0.01</v>
      </c>
      <c r="J841" s="1" t="s">
        <v>770</v>
      </c>
      <c r="K841">
        <v>107423319</v>
      </c>
      <c r="L841" s="2">
        <v>45149</v>
      </c>
      <c r="M841">
        <v>1</v>
      </c>
      <c r="N841">
        <v>1</v>
      </c>
      <c r="O841">
        <v>0</v>
      </c>
      <c r="P841">
        <v>5</v>
      </c>
      <c r="Q841" t="s">
        <v>7</v>
      </c>
    </row>
    <row r="842" spans="1:17">
      <c r="A842" t="s">
        <v>1021</v>
      </c>
      <c r="B842" s="672" t="s">
        <v>965</v>
      </c>
      <c r="C842">
        <v>8.2000000000000003E-2</v>
      </c>
      <c r="D842" t="s">
        <v>758</v>
      </c>
      <c r="E842" t="s">
        <v>1097</v>
      </c>
      <c r="G842" s="672" t="s">
        <v>1063</v>
      </c>
      <c r="H842">
        <v>8.2000000000000003E-2</v>
      </c>
      <c r="J842" s="1" t="s">
        <v>770</v>
      </c>
      <c r="K842">
        <v>107436572</v>
      </c>
      <c r="L842" s="2">
        <v>45166</v>
      </c>
      <c r="M842">
        <v>29</v>
      </c>
      <c r="N842">
        <v>1</v>
      </c>
      <c r="O842">
        <v>0</v>
      </c>
      <c r="P842">
        <v>1</v>
      </c>
      <c r="Q842" t="s">
        <v>7</v>
      </c>
    </row>
    <row r="843" spans="1:17">
      <c r="A843" t="s">
        <v>1021</v>
      </c>
      <c r="B843" s="672" t="s">
        <v>965</v>
      </c>
      <c r="C843">
        <v>7.5999999999999998E-2</v>
      </c>
      <c r="D843" t="s">
        <v>758</v>
      </c>
      <c r="E843" t="s">
        <v>1097</v>
      </c>
      <c r="F843" t="s">
        <v>1026</v>
      </c>
      <c r="G843" s="672" t="s">
        <v>1063</v>
      </c>
      <c r="H843">
        <v>8.7999999999999995E-2</v>
      </c>
      <c r="J843" s="1" t="s">
        <v>770</v>
      </c>
      <c r="K843">
        <v>105823341</v>
      </c>
      <c r="L843" s="2">
        <v>43542</v>
      </c>
      <c r="M843">
        <v>21</v>
      </c>
      <c r="N843">
        <v>1</v>
      </c>
      <c r="O843">
        <v>0</v>
      </c>
      <c r="P843">
        <v>1</v>
      </c>
      <c r="Q843" t="s">
        <v>7</v>
      </c>
    </row>
    <row r="844" spans="1:17">
      <c r="A844" t="s">
        <v>1021</v>
      </c>
      <c r="B844" s="672" t="s">
        <v>965</v>
      </c>
      <c r="C844">
        <v>0.28399999999999997</v>
      </c>
      <c r="D844" t="s">
        <v>756</v>
      </c>
      <c r="E844" t="s">
        <v>1035</v>
      </c>
      <c r="F844" t="s">
        <v>1097</v>
      </c>
      <c r="G844" s="672" t="s">
        <v>1063</v>
      </c>
      <c r="H844">
        <v>0.121</v>
      </c>
      <c r="J844" s="1" t="s">
        <v>770</v>
      </c>
      <c r="K844">
        <v>108395749</v>
      </c>
      <c r="L844" s="2">
        <v>46062</v>
      </c>
      <c r="M844">
        <v>17</v>
      </c>
      <c r="N844">
        <v>1</v>
      </c>
      <c r="O844">
        <v>0</v>
      </c>
      <c r="P844">
        <v>4</v>
      </c>
      <c r="Q844" t="s">
        <v>7</v>
      </c>
    </row>
    <row r="845" spans="1:17">
      <c r="A845" t="s">
        <v>1021</v>
      </c>
      <c r="B845" s="672" t="s">
        <v>965</v>
      </c>
      <c r="C845">
        <v>1E-3</v>
      </c>
      <c r="D845" t="s">
        <v>758</v>
      </c>
      <c r="E845" t="s">
        <v>1097</v>
      </c>
      <c r="F845" t="s">
        <v>1026</v>
      </c>
      <c r="G845" s="672" t="s">
        <v>1063</v>
      </c>
      <c r="H845">
        <v>0.16300000000000001</v>
      </c>
      <c r="J845" s="1" t="s">
        <v>770</v>
      </c>
      <c r="K845">
        <v>108285263</v>
      </c>
      <c r="L845" s="2">
        <v>45959</v>
      </c>
      <c r="M845">
        <v>24</v>
      </c>
      <c r="N845">
        <v>2</v>
      </c>
      <c r="O845">
        <v>12</v>
      </c>
      <c r="P845">
        <v>5</v>
      </c>
      <c r="Q845" t="s">
        <v>7</v>
      </c>
    </row>
    <row r="846" spans="1:17">
      <c r="A846" t="s">
        <v>1021</v>
      </c>
      <c r="B846" s="672" t="s">
        <v>965</v>
      </c>
      <c r="C846">
        <v>0</v>
      </c>
      <c r="E846" t="s">
        <v>1097</v>
      </c>
      <c r="F846" t="s">
        <v>1099</v>
      </c>
      <c r="G846" s="672" t="s">
        <v>1063</v>
      </c>
      <c r="H846">
        <v>0.16400000000000001</v>
      </c>
      <c r="J846" s="1" t="s">
        <v>770</v>
      </c>
      <c r="K846">
        <v>106223036</v>
      </c>
      <c r="L846" s="2">
        <v>43902</v>
      </c>
      <c r="M846">
        <v>30</v>
      </c>
      <c r="N846">
        <v>1</v>
      </c>
      <c r="O846">
        <v>7</v>
      </c>
      <c r="P846">
        <v>1</v>
      </c>
      <c r="Q846" t="s">
        <v>7</v>
      </c>
    </row>
    <row r="847" spans="1:17">
      <c r="A847" t="s">
        <v>1021</v>
      </c>
      <c r="B847" t="s">
        <v>1097</v>
      </c>
      <c r="C847">
        <v>0</v>
      </c>
      <c r="E847" s="672" t="s">
        <v>965</v>
      </c>
      <c r="F847" t="s">
        <v>1097</v>
      </c>
      <c r="G847" s="672" t="s">
        <v>1063</v>
      </c>
      <c r="H847">
        <v>0.16400000000000001</v>
      </c>
      <c r="J847" s="1" t="s">
        <v>770</v>
      </c>
      <c r="K847">
        <v>105777172</v>
      </c>
      <c r="L847" s="2">
        <v>43505</v>
      </c>
      <c r="M847">
        <v>2</v>
      </c>
      <c r="N847">
        <v>1</v>
      </c>
      <c r="O847">
        <v>0</v>
      </c>
      <c r="P847">
        <v>5</v>
      </c>
      <c r="Q847" t="s">
        <v>7</v>
      </c>
    </row>
    <row r="848" spans="1:17">
      <c r="A848" t="s">
        <v>1021</v>
      </c>
      <c r="B848" s="672" t="s">
        <v>965</v>
      </c>
      <c r="C848">
        <v>4.0000000000000001E-3</v>
      </c>
      <c r="D848" t="s">
        <v>762</v>
      </c>
      <c r="E848" t="s">
        <v>1097</v>
      </c>
      <c r="F848" t="s">
        <v>995</v>
      </c>
      <c r="G848" s="672" t="s">
        <v>1063</v>
      </c>
      <c r="H848">
        <v>0.16800000000000001</v>
      </c>
      <c r="J848" s="1" t="s">
        <v>770</v>
      </c>
      <c r="K848">
        <v>108315871</v>
      </c>
      <c r="L848" s="2">
        <v>45983</v>
      </c>
      <c r="M848">
        <v>1</v>
      </c>
      <c r="N848">
        <v>1</v>
      </c>
      <c r="O848">
        <v>0</v>
      </c>
      <c r="P848">
        <v>2</v>
      </c>
      <c r="Q848" t="s">
        <v>3</v>
      </c>
    </row>
    <row r="849" spans="1:17">
      <c r="A849" t="s">
        <v>1021</v>
      </c>
      <c r="B849" s="672" t="s">
        <v>965</v>
      </c>
      <c r="C849">
        <v>1.9E-2</v>
      </c>
      <c r="D849" t="s">
        <v>756</v>
      </c>
      <c r="E849" t="s">
        <v>1097</v>
      </c>
      <c r="F849" t="s">
        <v>1099</v>
      </c>
      <c r="G849" s="672" t="s">
        <v>1063</v>
      </c>
      <c r="H849">
        <v>0.183</v>
      </c>
      <c r="J849" s="1" t="s">
        <v>770</v>
      </c>
      <c r="K849">
        <v>106456267</v>
      </c>
      <c r="L849" s="2">
        <v>44172</v>
      </c>
      <c r="M849">
        <v>1</v>
      </c>
      <c r="N849">
        <v>2</v>
      </c>
      <c r="O849">
        <v>0</v>
      </c>
      <c r="P849">
        <v>1</v>
      </c>
      <c r="Q849" t="s">
        <v>7</v>
      </c>
    </row>
    <row r="850" spans="1:17">
      <c r="A850" t="s">
        <v>1021</v>
      </c>
      <c r="B850" t="s">
        <v>1099</v>
      </c>
      <c r="C850">
        <v>0</v>
      </c>
      <c r="E850" s="672" t="s">
        <v>965</v>
      </c>
      <c r="F850" t="s">
        <v>1099</v>
      </c>
      <c r="G850" s="672" t="s">
        <v>1063</v>
      </c>
      <c r="H850">
        <v>0.311</v>
      </c>
      <c r="J850" s="1" t="s">
        <v>770</v>
      </c>
      <c r="K850">
        <v>108387249</v>
      </c>
      <c r="L850" s="2">
        <v>46052</v>
      </c>
      <c r="M850">
        <v>31</v>
      </c>
      <c r="N850">
        <v>1</v>
      </c>
      <c r="O850">
        <v>11</v>
      </c>
      <c r="P850">
        <v>5</v>
      </c>
      <c r="Q850" t="s">
        <v>7</v>
      </c>
    </row>
    <row r="851" spans="1:17">
      <c r="A851" t="s">
        <v>1021</v>
      </c>
      <c r="B851" s="672" t="s">
        <v>965</v>
      </c>
      <c r="C851">
        <v>0</v>
      </c>
      <c r="E851" t="s">
        <v>1099</v>
      </c>
      <c r="F851" t="s">
        <v>1062</v>
      </c>
      <c r="G851" s="672" t="s">
        <v>1063</v>
      </c>
      <c r="H851">
        <v>0.311</v>
      </c>
      <c r="J851" s="1" t="s">
        <v>770</v>
      </c>
      <c r="K851">
        <v>106976592</v>
      </c>
      <c r="L851" s="2">
        <v>44714</v>
      </c>
      <c r="M851">
        <v>24</v>
      </c>
      <c r="N851">
        <v>1</v>
      </c>
      <c r="O851">
        <v>0</v>
      </c>
      <c r="P851">
        <v>1</v>
      </c>
      <c r="Q851" t="s">
        <v>7</v>
      </c>
    </row>
    <row r="852" spans="1:17">
      <c r="A852" t="s">
        <v>1021</v>
      </c>
      <c r="B852" s="672" t="s">
        <v>965</v>
      </c>
      <c r="C852">
        <v>0</v>
      </c>
      <c r="E852" t="s">
        <v>1099</v>
      </c>
      <c r="F852" t="s">
        <v>1062</v>
      </c>
      <c r="G852" s="672" t="s">
        <v>1063</v>
      </c>
      <c r="H852">
        <v>0.311</v>
      </c>
      <c r="J852" s="1" t="s">
        <v>770</v>
      </c>
      <c r="K852">
        <v>105671753</v>
      </c>
      <c r="L852" s="2">
        <v>43392</v>
      </c>
      <c r="M852">
        <v>30</v>
      </c>
      <c r="N852">
        <v>1</v>
      </c>
      <c r="O852">
        <v>0</v>
      </c>
      <c r="P852">
        <v>1</v>
      </c>
      <c r="Q852" t="s">
        <v>3</v>
      </c>
    </row>
    <row r="853" spans="1:17">
      <c r="A853" t="s">
        <v>1021</v>
      </c>
      <c r="B853" s="672" t="s">
        <v>965</v>
      </c>
      <c r="C853">
        <v>0.13</v>
      </c>
      <c r="D853" t="s">
        <v>762</v>
      </c>
      <c r="E853" t="s">
        <v>1099</v>
      </c>
      <c r="F853" t="s">
        <v>1061</v>
      </c>
      <c r="G853" s="672" t="s">
        <v>1063</v>
      </c>
      <c r="H853">
        <v>0.441</v>
      </c>
      <c r="J853" s="1" t="s">
        <v>770</v>
      </c>
      <c r="K853">
        <v>108390489</v>
      </c>
      <c r="L853" s="2">
        <v>46056</v>
      </c>
      <c r="M853">
        <v>1</v>
      </c>
      <c r="N853">
        <v>4</v>
      </c>
      <c r="O853">
        <v>0</v>
      </c>
      <c r="P853">
        <v>5</v>
      </c>
      <c r="Q853" t="s">
        <v>7</v>
      </c>
    </row>
    <row r="854" spans="1:17">
      <c r="A854" t="s">
        <v>1021</v>
      </c>
      <c r="B854" s="672" t="s">
        <v>965</v>
      </c>
      <c r="C854">
        <v>0</v>
      </c>
      <c r="E854" t="s">
        <v>1061</v>
      </c>
      <c r="F854" t="s">
        <v>1062</v>
      </c>
      <c r="G854" s="672" t="s">
        <v>1063</v>
      </c>
      <c r="H854">
        <v>0.48399999999999999</v>
      </c>
      <c r="J854" s="1" t="s">
        <v>770</v>
      </c>
      <c r="K854">
        <v>107936452</v>
      </c>
      <c r="L854" s="2">
        <v>45622</v>
      </c>
      <c r="M854">
        <v>23</v>
      </c>
      <c r="N854">
        <v>1</v>
      </c>
      <c r="O854">
        <v>8</v>
      </c>
      <c r="P854">
        <v>1</v>
      </c>
      <c r="Q854" t="s">
        <v>7</v>
      </c>
    </row>
    <row r="855" spans="1:17">
      <c r="A855" t="s">
        <v>1021</v>
      </c>
      <c r="B855" s="672" t="s">
        <v>965</v>
      </c>
      <c r="C855">
        <v>4.0000000000000001E-3</v>
      </c>
      <c r="D855" t="s">
        <v>756</v>
      </c>
      <c r="E855" t="s">
        <v>1061</v>
      </c>
      <c r="F855" t="s">
        <v>1062</v>
      </c>
      <c r="G855" s="672" t="s">
        <v>1063</v>
      </c>
      <c r="H855">
        <v>0.48799999999999999</v>
      </c>
      <c r="J855" s="1" t="s">
        <v>770</v>
      </c>
      <c r="K855">
        <v>104963629</v>
      </c>
      <c r="L855" s="2">
        <v>42706</v>
      </c>
      <c r="M855">
        <v>17</v>
      </c>
      <c r="N855">
        <v>1</v>
      </c>
      <c r="O855">
        <v>0</v>
      </c>
      <c r="P855">
        <v>1</v>
      </c>
      <c r="Q855" t="s">
        <v>7</v>
      </c>
    </row>
    <row r="856" spans="1:17">
      <c r="A856" t="s">
        <v>1021</v>
      </c>
      <c r="B856" s="672" t="s">
        <v>965</v>
      </c>
      <c r="C856">
        <v>4.5999999999999999E-2</v>
      </c>
      <c r="D856" t="s">
        <v>762</v>
      </c>
      <c r="E856" t="s">
        <v>1061</v>
      </c>
      <c r="F856" t="s">
        <v>1062</v>
      </c>
      <c r="G856" s="672" t="s">
        <v>1063</v>
      </c>
      <c r="H856">
        <v>0.53</v>
      </c>
      <c r="J856" s="1" t="s">
        <v>770</v>
      </c>
      <c r="K856">
        <v>108042998</v>
      </c>
      <c r="L856" s="2">
        <v>45726</v>
      </c>
      <c r="M856">
        <v>21</v>
      </c>
      <c r="N856">
        <v>1</v>
      </c>
      <c r="O856">
        <v>7</v>
      </c>
      <c r="P856">
        <v>1</v>
      </c>
      <c r="Q856" t="s">
        <v>7</v>
      </c>
    </row>
    <row r="857" spans="1:17">
      <c r="A857" t="s">
        <v>1021</v>
      </c>
      <c r="B857" s="672" t="s">
        <v>965</v>
      </c>
      <c r="C857">
        <v>4.0000000000000001E-3</v>
      </c>
      <c r="D857" t="s">
        <v>758</v>
      </c>
      <c r="E857" t="s">
        <v>1062</v>
      </c>
      <c r="G857" s="672" t="s">
        <v>1063</v>
      </c>
      <c r="H857">
        <v>0.53500000000000003</v>
      </c>
      <c r="J857" s="1" t="s">
        <v>770</v>
      </c>
      <c r="K857">
        <v>107360935</v>
      </c>
      <c r="L857" s="2">
        <v>45064</v>
      </c>
      <c r="M857">
        <v>21</v>
      </c>
      <c r="N857">
        <v>1</v>
      </c>
      <c r="O857">
        <v>8</v>
      </c>
      <c r="P857">
        <v>1</v>
      </c>
      <c r="Q857" t="s">
        <v>7</v>
      </c>
    </row>
    <row r="858" spans="1:17">
      <c r="A858" t="s">
        <v>1021</v>
      </c>
      <c r="B858" s="672" t="s">
        <v>965</v>
      </c>
      <c r="C858">
        <v>0</v>
      </c>
      <c r="E858" t="s">
        <v>1062</v>
      </c>
      <c r="F858" t="s">
        <v>1162</v>
      </c>
      <c r="G858" s="672" t="s">
        <v>1063</v>
      </c>
      <c r="H858">
        <v>0.53900000000000003</v>
      </c>
      <c r="J858" s="1" t="s">
        <v>770</v>
      </c>
      <c r="K858">
        <v>107290280</v>
      </c>
      <c r="L858" s="2">
        <v>45019</v>
      </c>
      <c r="M858">
        <v>21</v>
      </c>
      <c r="N858">
        <v>1</v>
      </c>
      <c r="O858">
        <v>0</v>
      </c>
      <c r="P858">
        <v>1</v>
      </c>
      <c r="Q858" t="s">
        <v>7</v>
      </c>
    </row>
    <row r="859" spans="1:17">
      <c r="A859" t="s">
        <v>1021</v>
      </c>
      <c r="B859" s="672" t="s">
        <v>965</v>
      </c>
      <c r="C859">
        <v>0</v>
      </c>
      <c r="E859" t="s">
        <v>1062</v>
      </c>
      <c r="F859" t="s">
        <v>1061</v>
      </c>
      <c r="G859" s="672" t="s">
        <v>1063</v>
      </c>
      <c r="H859">
        <v>0.53900000000000003</v>
      </c>
      <c r="J859" s="1" t="s">
        <v>770</v>
      </c>
      <c r="K859">
        <v>105156545</v>
      </c>
      <c r="L859" s="2">
        <v>42909</v>
      </c>
      <c r="M859">
        <v>21</v>
      </c>
      <c r="N859">
        <v>1</v>
      </c>
      <c r="O859">
        <v>9</v>
      </c>
      <c r="P859">
        <v>1</v>
      </c>
      <c r="Q859" t="s">
        <v>3</v>
      </c>
    </row>
    <row r="860" spans="1:17">
      <c r="A860" t="s">
        <v>1021</v>
      </c>
      <c r="B860" s="672" t="s">
        <v>965</v>
      </c>
      <c r="C860">
        <v>0</v>
      </c>
      <c r="E860" t="s">
        <v>1062</v>
      </c>
      <c r="F860" t="s">
        <v>1061</v>
      </c>
      <c r="G860" s="672" t="s">
        <v>1063</v>
      </c>
      <c r="H860">
        <v>0.53900000000000003</v>
      </c>
      <c r="J860" s="1" t="s">
        <v>770</v>
      </c>
      <c r="K860">
        <v>105849289</v>
      </c>
      <c r="L860" s="2">
        <v>43556</v>
      </c>
      <c r="M860">
        <v>21</v>
      </c>
      <c r="N860">
        <v>1</v>
      </c>
      <c r="O860">
        <v>8</v>
      </c>
      <c r="P860">
        <v>5</v>
      </c>
      <c r="Q860" t="s">
        <v>7</v>
      </c>
    </row>
    <row r="861" spans="1:17">
      <c r="A861" t="s">
        <v>1021</v>
      </c>
      <c r="B861" s="672" t="s">
        <v>965</v>
      </c>
      <c r="C861">
        <v>0</v>
      </c>
      <c r="E861" t="s">
        <v>1062</v>
      </c>
      <c r="F861" t="s">
        <v>1061</v>
      </c>
      <c r="G861" s="672" t="s">
        <v>1063</v>
      </c>
      <c r="H861">
        <v>0.53900000000000003</v>
      </c>
      <c r="J861" s="1" t="s">
        <v>770</v>
      </c>
      <c r="K861">
        <v>106186234</v>
      </c>
      <c r="L861" s="2">
        <v>43851</v>
      </c>
      <c r="M861">
        <v>21</v>
      </c>
      <c r="N861">
        <v>1</v>
      </c>
      <c r="O861">
        <v>7</v>
      </c>
      <c r="P861">
        <v>1</v>
      </c>
      <c r="Q861" t="s">
        <v>7</v>
      </c>
    </row>
    <row r="862" spans="1:17">
      <c r="A862" t="s">
        <v>1021</v>
      </c>
      <c r="B862" s="672" t="s">
        <v>965</v>
      </c>
      <c r="C862">
        <v>0</v>
      </c>
      <c r="E862" t="s">
        <v>1062</v>
      </c>
      <c r="F862" t="s">
        <v>1061</v>
      </c>
      <c r="G862" s="672" t="s">
        <v>1063</v>
      </c>
      <c r="H862">
        <v>0.53900000000000003</v>
      </c>
      <c r="J862" s="1" t="s">
        <v>770</v>
      </c>
      <c r="K862">
        <v>106847025</v>
      </c>
      <c r="L862" s="2">
        <v>44592</v>
      </c>
      <c r="M862">
        <v>21</v>
      </c>
      <c r="N862">
        <v>1</v>
      </c>
      <c r="O862">
        <v>8</v>
      </c>
      <c r="P862">
        <v>1</v>
      </c>
      <c r="Q862" t="s">
        <v>7</v>
      </c>
    </row>
    <row r="863" spans="1:17">
      <c r="A863" t="s">
        <v>1021</v>
      </c>
      <c r="B863" s="672" t="s">
        <v>965</v>
      </c>
      <c r="C863">
        <v>0</v>
      </c>
      <c r="E863" t="s">
        <v>1062</v>
      </c>
      <c r="F863" t="s">
        <v>1061</v>
      </c>
      <c r="G863" s="672" t="s">
        <v>1063</v>
      </c>
      <c r="H863">
        <v>0.53900000000000003</v>
      </c>
      <c r="J863" s="1" t="s">
        <v>770</v>
      </c>
      <c r="K863">
        <v>107072038</v>
      </c>
      <c r="L863" s="2">
        <v>44811</v>
      </c>
      <c r="M863">
        <v>21</v>
      </c>
      <c r="N863">
        <v>1</v>
      </c>
      <c r="O863">
        <v>0</v>
      </c>
      <c r="P863">
        <v>1</v>
      </c>
      <c r="Q863" t="s">
        <v>7</v>
      </c>
    </row>
    <row r="864" spans="1:17">
      <c r="A864" t="s">
        <v>1021</v>
      </c>
      <c r="B864" s="672" t="s">
        <v>965</v>
      </c>
      <c r="C864">
        <v>0</v>
      </c>
      <c r="E864" t="s">
        <v>1062</v>
      </c>
      <c r="F864" t="s">
        <v>1061</v>
      </c>
      <c r="G864" s="672" t="s">
        <v>1063</v>
      </c>
      <c r="H864">
        <v>0.53900000000000003</v>
      </c>
      <c r="J864" s="1" t="s">
        <v>770</v>
      </c>
      <c r="K864">
        <v>107581829</v>
      </c>
      <c r="L864" s="2">
        <v>45293</v>
      </c>
      <c r="M864">
        <v>21</v>
      </c>
      <c r="N864">
        <v>1</v>
      </c>
      <c r="O864">
        <v>9</v>
      </c>
      <c r="P864">
        <v>1</v>
      </c>
      <c r="Q864" t="s">
        <v>7</v>
      </c>
    </row>
    <row r="865" spans="1:17">
      <c r="A865" t="s">
        <v>1021</v>
      </c>
      <c r="B865" s="672" t="s">
        <v>965</v>
      </c>
      <c r="C865">
        <v>0</v>
      </c>
      <c r="E865" t="s">
        <v>1062</v>
      </c>
      <c r="F865" t="s">
        <v>1061</v>
      </c>
      <c r="G865" s="672" t="s">
        <v>1063</v>
      </c>
      <c r="H865">
        <v>0.53900000000000003</v>
      </c>
      <c r="J865" s="1" t="s">
        <v>770</v>
      </c>
      <c r="K865">
        <v>108086785</v>
      </c>
      <c r="L865" s="2">
        <v>45769</v>
      </c>
      <c r="M865">
        <v>21</v>
      </c>
      <c r="N865">
        <v>1</v>
      </c>
      <c r="O865">
        <v>7</v>
      </c>
      <c r="P865">
        <v>1</v>
      </c>
      <c r="Q865" t="s">
        <v>7</v>
      </c>
    </row>
    <row r="866" spans="1:17">
      <c r="A866" t="s">
        <v>1021</v>
      </c>
      <c r="B866" s="672" t="s">
        <v>965</v>
      </c>
      <c r="C866">
        <v>0</v>
      </c>
      <c r="E866" t="s">
        <v>1062</v>
      </c>
      <c r="F866" t="s">
        <v>1061</v>
      </c>
      <c r="G866" s="672" t="s">
        <v>1063</v>
      </c>
      <c r="H866">
        <v>0.53900000000000003</v>
      </c>
      <c r="J866" s="1" t="s">
        <v>770</v>
      </c>
      <c r="K866">
        <v>108249653</v>
      </c>
      <c r="L866" s="2">
        <v>45932</v>
      </c>
      <c r="M866">
        <v>21</v>
      </c>
      <c r="N866">
        <v>1</v>
      </c>
      <c r="O866">
        <v>8</v>
      </c>
      <c r="P866">
        <v>1</v>
      </c>
      <c r="Q866" t="s">
        <v>7</v>
      </c>
    </row>
    <row r="867" spans="1:17">
      <c r="A867" t="s">
        <v>1021</v>
      </c>
      <c r="B867" s="672" t="s">
        <v>965</v>
      </c>
      <c r="C867">
        <v>0</v>
      </c>
      <c r="E867" t="s">
        <v>1062</v>
      </c>
      <c r="G867" s="672" t="s">
        <v>1063</v>
      </c>
      <c r="H867">
        <v>0.53900000000000003</v>
      </c>
      <c r="J867" s="1" t="s">
        <v>770</v>
      </c>
      <c r="K867">
        <v>107230485</v>
      </c>
      <c r="L867" s="2">
        <v>44957</v>
      </c>
      <c r="M867">
        <v>21</v>
      </c>
      <c r="N867">
        <v>1</v>
      </c>
      <c r="O867">
        <v>9</v>
      </c>
      <c r="P867">
        <v>1</v>
      </c>
      <c r="Q867" t="s">
        <v>7</v>
      </c>
    </row>
    <row r="868" spans="1:17">
      <c r="A868" t="s">
        <v>1021</v>
      </c>
      <c r="B868" s="672" t="s">
        <v>965</v>
      </c>
      <c r="C868">
        <v>0</v>
      </c>
      <c r="E868" t="s">
        <v>1062</v>
      </c>
      <c r="G868" s="672" t="s">
        <v>1063</v>
      </c>
      <c r="H868">
        <v>0.53900000000000003</v>
      </c>
      <c r="J868" s="1" t="s">
        <v>770</v>
      </c>
      <c r="K868">
        <v>107496348</v>
      </c>
      <c r="L868" s="2">
        <v>45220</v>
      </c>
      <c r="M868">
        <v>21</v>
      </c>
      <c r="N868">
        <v>1</v>
      </c>
      <c r="O868">
        <v>9</v>
      </c>
      <c r="P868">
        <v>1</v>
      </c>
      <c r="Q868" t="s">
        <v>3</v>
      </c>
    </row>
    <row r="869" spans="1:17">
      <c r="A869" t="s">
        <v>1021</v>
      </c>
      <c r="B869" s="675" t="s">
        <v>979</v>
      </c>
      <c r="C869">
        <v>2.5999999999999999E-2</v>
      </c>
      <c r="D869" t="s">
        <v>763</v>
      </c>
      <c r="E869" s="672" t="s">
        <v>965</v>
      </c>
      <c r="F869" t="s">
        <v>1092</v>
      </c>
      <c r="G869" s="675" t="s">
        <v>979</v>
      </c>
      <c r="H869">
        <v>9.6370000000000005</v>
      </c>
      <c r="J869" s="1" t="s">
        <v>770</v>
      </c>
      <c r="K869">
        <v>107906101</v>
      </c>
      <c r="L869" s="2">
        <v>45598</v>
      </c>
      <c r="M869">
        <v>17</v>
      </c>
      <c r="N869">
        <v>1</v>
      </c>
      <c r="O869">
        <v>0</v>
      </c>
      <c r="P869">
        <v>1</v>
      </c>
      <c r="Q869" t="s">
        <v>7</v>
      </c>
    </row>
    <row r="870" spans="1:17">
      <c r="A870" t="s">
        <v>1021</v>
      </c>
      <c r="B870" s="675" t="s">
        <v>979</v>
      </c>
      <c r="C870">
        <v>1.9E-2</v>
      </c>
      <c r="D870" t="s">
        <v>6</v>
      </c>
      <c r="E870" s="672" t="s">
        <v>965</v>
      </c>
      <c r="F870" t="s">
        <v>1092</v>
      </c>
      <c r="G870" s="675" t="s">
        <v>979</v>
      </c>
      <c r="H870">
        <v>9.6440000000000001</v>
      </c>
      <c r="J870" s="1" t="s">
        <v>770</v>
      </c>
      <c r="K870">
        <v>108147858</v>
      </c>
      <c r="L870" s="2">
        <v>45828</v>
      </c>
      <c r="M870">
        <v>28</v>
      </c>
      <c r="N870">
        <v>1</v>
      </c>
      <c r="O870">
        <v>0</v>
      </c>
      <c r="P870">
        <v>4</v>
      </c>
      <c r="Q870" t="s">
        <v>3</v>
      </c>
    </row>
    <row r="871" spans="1:17">
      <c r="A871" t="s">
        <v>1021</v>
      </c>
      <c r="B871" s="675" t="s">
        <v>979</v>
      </c>
      <c r="C871">
        <v>2E-3</v>
      </c>
      <c r="D871" t="s">
        <v>6</v>
      </c>
      <c r="E871" s="672" t="s">
        <v>965</v>
      </c>
      <c r="F871" t="s">
        <v>1092</v>
      </c>
      <c r="G871" s="675" t="s">
        <v>979</v>
      </c>
      <c r="H871">
        <v>9.6609999999999996</v>
      </c>
      <c r="J871" s="1" t="s">
        <v>770</v>
      </c>
      <c r="K871">
        <v>108028219</v>
      </c>
      <c r="L871" s="2">
        <v>45707</v>
      </c>
      <c r="M871">
        <v>1</v>
      </c>
      <c r="N871">
        <v>4</v>
      </c>
      <c r="O871">
        <v>0</v>
      </c>
      <c r="P871">
        <v>1</v>
      </c>
      <c r="Q871" t="s">
        <v>7</v>
      </c>
    </row>
    <row r="872" spans="1:17">
      <c r="A872" t="s">
        <v>1021</v>
      </c>
      <c r="B872" s="675" t="s">
        <v>979</v>
      </c>
      <c r="C872">
        <v>0</v>
      </c>
      <c r="E872" s="672" t="s">
        <v>965</v>
      </c>
      <c r="F872" t="s">
        <v>1052</v>
      </c>
      <c r="G872" s="675" t="s">
        <v>979</v>
      </c>
      <c r="H872">
        <v>9.6630000000000003</v>
      </c>
      <c r="J872" s="1" t="s">
        <v>770</v>
      </c>
      <c r="K872">
        <v>106802229</v>
      </c>
      <c r="L872" s="2">
        <v>44447</v>
      </c>
      <c r="M872">
        <v>21</v>
      </c>
      <c r="N872">
        <v>1</v>
      </c>
      <c r="O872">
        <v>15</v>
      </c>
      <c r="P872">
        <v>1</v>
      </c>
      <c r="Q872" t="s">
        <v>7</v>
      </c>
    </row>
    <row r="873" spans="1:17">
      <c r="A873" t="s">
        <v>1021</v>
      </c>
      <c r="B873" s="675" t="s">
        <v>979</v>
      </c>
      <c r="C873">
        <v>0</v>
      </c>
      <c r="D873" t="s">
        <v>6</v>
      </c>
      <c r="E873" s="672" t="s">
        <v>965</v>
      </c>
      <c r="F873" s="672" t="s">
        <v>965</v>
      </c>
      <c r="G873" s="675" t="s">
        <v>979</v>
      </c>
      <c r="H873">
        <v>9.6630000000000003</v>
      </c>
      <c r="J873" s="1" t="s">
        <v>770</v>
      </c>
      <c r="K873">
        <v>105720648</v>
      </c>
      <c r="L873" s="2">
        <v>43431</v>
      </c>
      <c r="M873">
        <v>1</v>
      </c>
      <c r="N873">
        <v>1</v>
      </c>
      <c r="O873">
        <v>0</v>
      </c>
      <c r="P873">
        <v>1</v>
      </c>
      <c r="Q873" t="s">
        <v>7</v>
      </c>
    </row>
    <row r="874" spans="1:17">
      <c r="A874" t="s">
        <v>1021</v>
      </c>
      <c r="B874" s="675" t="s">
        <v>979</v>
      </c>
      <c r="C874">
        <v>0</v>
      </c>
      <c r="D874" t="s">
        <v>757</v>
      </c>
      <c r="E874" s="672" t="s">
        <v>965</v>
      </c>
      <c r="F874" t="s">
        <v>1041</v>
      </c>
      <c r="G874" s="675" t="s">
        <v>979</v>
      </c>
      <c r="H874">
        <v>9.6630000000000003</v>
      </c>
      <c r="J874" s="1" t="s">
        <v>770</v>
      </c>
      <c r="K874">
        <v>107255973</v>
      </c>
      <c r="L874" s="2">
        <v>44984</v>
      </c>
      <c r="M874">
        <v>28</v>
      </c>
      <c r="N874">
        <v>1</v>
      </c>
      <c r="O874">
        <v>20</v>
      </c>
      <c r="P874">
        <v>1</v>
      </c>
      <c r="Q874" t="s">
        <v>7</v>
      </c>
    </row>
    <row r="875" spans="1:17">
      <c r="A875" t="s">
        <v>1021</v>
      </c>
      <c r="B875" s="675" t="s">
        <v>979</v>
      </c>
      <c r="C875">
        <v>0</v>
      </c>
      <c r="D875" t="s">
        <v>6</v>
      </c>
      <c r="E875" s="672" t="s">
        <v>965</v>
      </c>
      <c r="F875" t="s">
        <v>1041</v>
      </c>
      <c r="G875" s="675" t="s">
        <v>979</v>
      </c>
      <c r="H875">
        <v>9.6630000000000003</v>
      </c>
      <c r="J875" s="1" t="s">
        <v>770</v>
      </c>
      <c r="K875">
        <v>107397084</v>
      </c>
      <c r="L875" s="2">
        <v>45121</v>
      </c>
      <c r="M875">
        <v>28</v>
      </c>
      <c r="N875">
        <v>1</v>
      </c>
      <c r="O875">
        <v>0</v>
      </c>
      <c r="P875">
        <v>1</v>
      </c>
      <c r="Q875" t="s">
        <v>7</v>
      </c>
    </row>
    <row r="876" spans="1:17">
      <c r="A876" t="s">
        <v>1021</v>
      </c>
      <c r="B876" s="675" t="s">
        <v>979</v>
      </c>
      <c r="C876">
        <v>0</v>
      </c>
      <c r="E876" s="672" t="s">
        <v>965</v>
      </c>
      <c r="F876" t="s">
        <v>1051</v>
      </c>
      <c r="G876" s="675" t="s">
        <v>979</v>
      </c>
      <c r="H876">
        <v>9.6630000000000003</v>
      </c>
      <c r="J876" s="1" t="s">
        <v>770</v>
      </c>
      <c r="K876">
        <v>106296411</v>
      </c>
      <c r="L876" s="2">
        <v>43991</v>
      </c>
      <c r="M876">
        <v>21</v>
      </c>
      <c r="N876">
        <v>1</v>
      </c>
      <c r="O876">
        <v>7</v>
      </c>
      <c r="P876">
        <v>1</v>
      </c>
      <c r="Q876" t="s">
        <v>7</v>
      </c>
    </row>
    <row r="877" spans="1:17">
      <c r="A877" t="s">
        <v>1021</v>
      </c>
      <c r="B877" s="675" t="s">
        <v>979</v>
      </c>
      <c r="C877">
        <v>0</v>
      </c>
      <c r="E877" s="672" t="s">
        <v>965</v>
      </c>
      <c r="F877" t="s">
        <v>1051</v>
      </c>
      <c r="G877" s="675" t="s">
        <v>979</v>
      </c>
      <c r="H877">
        <v>9.6630000000000003</v>
      </c>
      <c r="J877" s="1" t="s">
        <v>770</v>
      </c>
      <c r="K877">
        <v>105432179</v>
      </c>
      <c r="L877" s="2">
        <v>43164</v>
      </c>
      <c r="M877">
        <v>28</v>
      </c>
      <c r="N877">
        <v>1</v>
      </c>
      <c r="O877">
        <v>0</v>
      </c>
      <c r="P877">
        <v>1</v>
      </c>
      <c r="Q877" t="s">
        <v>7</v>
      </c>
    </row>
    <row r="878" spans="1:17">
      <c r="A878" t="s">
        <v>1021</v>
      </c>
      <c r="B878" s="675" t="s">
        <v>979</v>
      </c>
      <c r="C878">
        <v>0</v>
      </c>
      <c r="E878" s="672" t="s">
        <v>965</v>
      </c>
      <c r="F878" t="s">
        <v>1092</v>
      </c>
      <c r="G878" s="675" t="s">
        <v>979</v>
      </c>
      <c r="H878">
        <v>9.6630000000000003</v>
      </c>
      <c r="J878" s="1" t="s">
        <v>770</v>
      </c>
      <c r="K878">
        <v>105091228</v>
      </c>
      <c r="L878" s="2">
        <v>42846</v>
      </c>
      <c r="M878">
        <v>28</v>
      </c>
      <c r="N878">
        <v>1</v>
      </c>
      <c r="O878">
        <v>0</v>
      </c>
      <c r="P878">
        <v>1</v>
      </c>
      <c r="Q878" t="s">
        <v>7</v>
      </c>
    </row>
    <row r="879" spans="1:17">
      <c r="A879" t="s">
        <v>1021</v>
      </c>
      <c r="B879" s="675" t="s">
        <v>979</v>
      </c>
      <c r="C879">
        <v>0</v>
      </c>
      <c r="E879" s="672" t="s">
        <v>965</v>
      </c>
      <c r="F879" t="s">
        <v>1195</v>
      </c>
      <c r="G879" s="675" t="s">
        <v>979</v>
      </c>
      <c r="H879">
        <v>9.6630000000000003</v>
      </c>
      <c r="J879" s="1" t="s">
        <v>770</v>
      </c>
      <c r="K879">
        <v>108535695</v>
      </c>
      <c r="L879" s="2">
        <v>46193</v>
      </c>
      <c r="M879">
        <v>21</v>
      </c>
      <c r="N879">
        <v>1</v>
      </c>
      <c r="O879">
        <v>0</v>
      </c>
      <c r="P879">
        <v>4</v>
      </c>
      <c r="Q879" t="s">
        <v>3</v>
      </c>
    </row>
    <row r="880" spans="1:17">
      <c r="A880" t="s">
        <v>1021</v>
      </c>
      <c r="B880" s="675" t="s">
        <v>979</v>
      </c>
      <c r="C880">
        <v>0</v>
      </c>
      <c r="E880" s="672" t="s">
        <v>965</v>
      </c>
      <c r="F880" t="s">
        <v>1071</v>
      </c>
      <c r="G880" s="675" t="s">
        <v>979</v>
      </c>
      <c r="H880">
        <v>9.6630000000000003</v>
      </c>
      <c r="J880" s="1" t="s">
        <v>770</v>
      </c>
      <c r="K880">
        <v>105372647</v>
      </c>
      <c r="L880" s="2">
        <v>43106</v>
      </c>
      <c r="M880">
        <v>1</v>
      </c>
      <c r="N880">
        <v>4</v>
      </c>
      <c r="O880">
        <v>16</v>
      </c>
      <c r="P880">
        <v>1</v>
      </c>
      <c r="Q880" t="s">
        <v>7</v>
      </c>
    </row>
    <row r="881" spans="1:22">
      <c r="A881" t="s">
        <v>1021</v>
      </c>
      <c r="B881" s="675" t="s">
        <v>979</v>
      </c>
      <c r="C881">
        <v>0</v>
      </c>
      <c r="E881" s="672" t="s">
        <v>965</v>
      </c>
      <c r="F881" t="s">
        <v>1071</v>
      </c>
      <c r="G881" s="675" t="s">
        <v>979</v>
      </c>
      <c r="H881">
        <v>9.6630000000000003</v>
      </c>
      <c r="J881" s="1" t="s">
        <v>770</v>
      </c>
      <c r="K881">
        <v>106802384</v>
      </c>
      <c r="L881" s="2">
        <v>44515</v>
      </c>
      <c r="M881">
        <v>17</v>
      </c>
      <c r="N881">
        <v>1</v>
      </c>
      <c r="O881">
        <v>0</v>
      </c>
      <c r="P881">
        <v>2</v>
      </c>
      <c r="Q881" t="s">
        <v>7</v>
      </c>
    </row>
    <row r="882" spans="1:22">
      <c r="A882" t="s">
        <v>1021</v>
      </c>
      <c r="B882" s="675" t="s">
        <v>979</v>
      </c>
      <c r="C882">
        <v>0</v>
      </c>
      <c r="E882" s="672" t="s">
        <v>965</v>
      </c>
      <c r="F882" t="s">
        <v>1071</v>
      </c>
      <c r="G882" s="675" t="s">
        <v>979</v>
      </c>
      <c r="H882">
        <v>9.6630000000000003</v>
      </c>
      <c r="J882" s="1" t="s">
        <v>770</v>
      </c>
      <c r="K882">
        <v>107622107</v>
      </c>
      <c r="L882" s="2">
        <v>45333</v>
      </c>
      <c r="M882">
        <v>28</v>
      </c>
      <c r="N882">
        <v>2</v>
      </c>
      <c r="O882">
        <v>18</v>
      </c>
      <c r="P882">
        <v>1</v>
      </c>
      <c r="Q882" t="s">
        <v>7</v>
      </c>
    </row>
    <row r="883" spans="1:22">
      <c r="A883" t="s">
        <v>1021</v>
      </c>
      <c r="B883" s="675" t="s">
        <v>979</v>
      </c>
      <c r="C883">
        <v>0</v>
      </c>
      <c r="E883" s="672" t="s">
        <v>965</v>
      </c>
      <c r="F883" t="s">
        <v>1071</v>
      </c>
      <c r="G883" s="675" t="s">
        <v>979</v>
      </c>
      <c r="H883">
        <v>9.6630000000000003</v>
      </c>
      <c r="J883" s="1" t="s">
        <v>770</v>
      </c>
      <c r="K883">
        <v>105382917</v>
      </c>
      <c r="L883" s="2">
        <v>43106</v>
      </c>
      <c r="M883">
        <v>30</v>
      </c>
      <c r="N883">
        <v>4</v>
      </c>
      <c r="O883">
        <v>16</v>
      </c>
      <c r="P883">
        <v>1</v>
      </c>
      <c r="Q883" t="s">
        <v>7</v>
      </c>
    </row>
    <row r="884" spans="1:22">
      <c r="A884" t="s">
        <v>1021</v>
      </c>
      <c r="B884" s="675" t="s">
        <v>979</v>
      </c>
      <c r="C884">
        <v>0</v>
      </c>
      <c r="E884" s="672" t="s">
        <v>965</v>
      </c>
      <c r="G884" s="675" t="s">
        <v>979</v>
      </c>
      <c r="H884">
        <v>9.6630000000000003</v>
      </c>
      <c r="J884" s="1" t="s">
        <v>770</v>
      </c>
      <c r="K884">
        <v>106296404</v>
      </c>
      <c r="L884" s="2">
        <v>43985</v>
      </c>
      <c r="M884">
        <v>21</v>
      </c>
      <c r="N884">
        <v>1</v>
      </c>
      <c r="O884">
        <v>8</v>
      </c>
      <c r="P884">
        <v>1</v>
      </c>
      <c r="Q884" t="s">
        <v>7</v>
      </c>
    </row>
    <row r="885" spans="1:22">
      <c r="A885" t="s">
        <v>1021</v>
      </c>
      <c r="B885" s="675" t="s">
        <v>979</v>
      </c>
      <c r="C885">
        <v>6.0000000000000001E-3</v>
      </c>
      <c r="D885" t="s">
        <v>764</v>
      </c>
      <c r="E885" s="672" t="s">
        <v>965</v>
      </c>
      <c r="F885" t="s">
        <v>1071</v>
      </c>
      <c r="G885" s="675" t="s">
        <v>979</v>
      </c>
      <c r="H885">
        <v>9.6690000000000005</v>
      </c>
      <c r="J885" s="1" t="s">
        <v>770</v>
      </c>
      <c r="K885">
        <v>107997154</v>
      </c>
      <c r="L885" s="2">
        <v>45679</v>
      </c>
      <c r="M885">
        <v>19</v>
      </c>
      <c r="N885">
        <v>4</v>
      </c>
      <c r="O885">
        <v>19</v>
      </c>
      <c r="P885">
        <v>1</v>
      </c>
      <c r="Q885" t="s">
        <v>7</v>
      </c>
    </row>
    <row r="886" spans="1:22">
      <c r="A886" t="s">
        <v>1021</v>
      </c>
      <c r="B886" s="675" t="s">
        <v>979</v>
      </c>
      <c r="C886">
        <v>8.9999999999999993E-3</v>
      </c>
      <c r="D886" t="s">
        <v>757</v>
      </c>
      <c r="E886" s="672" t="s">
        <v>965</v>
      </c>
      <c r="F886" t="s">
        <v>1071</v>
      </c>
      <c r="G886" s="675" t="s">
        <v>979</v>
      </c>
      <c r="H886">
        <v>9.6720000000000006</v>
      </c>
      <c r="J886" s="1" t="s">
        <v>770</v>
      </c>
      <c r="K886">
        <v>106586147</v>
      </c>
      <c r="L886" s="2">
        <v>44295</v>
      </c>
      <c r="M886">
        <v>21</v>
      </c>
      <c r="N886">
        <v>2</v>
      </c>
      <c r="O886">
        <v>20</v>
      </c>
      <c r="P886">
        <v>1</v>
      </c>
      <c r="Q886" t="s">
        <v>7</v>
      </c>
    </row>
    <row r="887" spans="1:22">
      <c r="A887" t="s">
        <v>1021</v>
      </c>
      <c r="B887" s="675" t="s">
        <v>979</v>
      </c>
      <c r="C887">
        <v>1.9E-2</v>
      </c>
      <c r="D887" t="s">
        <v>757</v>
      </c>
      <c r="E887" s="672" t="s">
        <v>965</v>
      </c>
      <c r="F887" t="s">
        <v>1051</v>
      </c>
      <c r="G887" s="675" t="s">
        <v>979</v>
      </c>
      <c r="H887">
        <v>9.6820000000000004</v>
      </c>
      <c r="J887" s="1" t="s">
        <v>770</v>
      </c>
      <c r="K887">
        <v>105962992</v>
      </c>
      <c r="L887" s="2">
        <v>43681</v>
      </c>
      <c r="M887">
        <v>1</v>
      </c>
      <c r="N887">
        <v>2</v>
      </c>
      <c r="O887">
        <v>20</v>
      </c>
      <c r="P887">
        <v>1</v>
      </c>
      <c r="Q887" t="s">
        <v>7</v>
      </c>
    </row>
    <row r="888" spans="1:22">
      <c r="A888" t="s">
        <v>1021</v>
      </c>
      <c r="B888" s="675" t="s">
        <v>979</v>
      </c>
      <c r="C888">
        <v>1.9E-2</v>
      </c>
      <c r="D888" t="s">
        <v>764</v>
      </c>
      <c r="E888" s="672" t="s">
        <v>965</v>
      </c>
      <c r="F888" t="s">
        <v>1051</v>
      </c>
      <c r="G888" s="675" t="s">
        <v>979</v>
      </c>
      <c r="H888">
        <v>9.6820000000000004</v>
      </c>
      <c r="J888" s="1" t="s">
        <v>770</v>
      </c>
      <c r="K888">
        <v>107681327</v>
      </c>
      <c r="L888" s="2">
        <v>45391</v>
      </c>
      <c r="M888">
        <v>28</v>
      </c>
      <c r="N888">
        <v>2</v>
      </c>
      <c r="O888">
        <v>0</v>
      </c>
      <c r="P888">
        <v>1</v>
      </c>
      <c r="Q888" t="s">
        <v>7</v>
      </c>
    </row>
    <row r="889" spans="1:22">
      <c r="A889" t="s">
        <v>1021</v>
      </c>
      <c r="B889" s="675" t="s">
        <v>979</v>
      </c>
      <c r="C889">
        <v>1.9E-2</v>
      </c>
      <c r="D889" t="s">
        <v>757</v>
      </c>
      <c r="E889" s="672" t="s">
        <v>965</v>
      </c>
      <c r="F889" t="s">
        <v>1071</v>
      </c>
      <c r="G889" s="675" t="s">
        <v>979</v>
      </c>
      <c r="H889">
        <v>9.6820000000000004</v>
      </c>
      <c r="J889" s="1" t="s">
        <v>770</v>
      </c>
      <c r="K889">
        <v>107053944</v>
      </c>
      <c r="L889" s="2">
        <v>44793</v>
      </c>
      <c r="M889">
        <v>1</v>
      </c>
      <c r="N889">
        <v>1</v>
      </c>
      <c r="O889">
        <v>19</v>
      </c>
      <c r="P889">
        <v>4</v>
      </c>
      <c r="Q889" t="s">
        <v>7</v>
      </c>
    </row>
    <row r="890" spans="1:22">
      <c r="A890" t="s">
        <v>1021</v>
      </c>
      <c r="B890" s="675" t="s">
        <v>979</v>
      </c>
      <c r="C890">
        <v>1.9E-2</v>
      </c>
      <c r="D890" t="s">
        <v>757</v>
      </c>
      <c r="E890" s="672" t="s">
        <v>965</v>
      </c>
      <c r="F890" t="s">
        <v>1071</v>
      </c>
      <c r="G890" s="675" t="s">
        <v>979</v>
      </c>
      <c r="H890">
        <v>9.6820000000000004</v>
      </c>
      <c r="J890" s="1" t="s">
        <v>770</v>
      </c>
      <c r="K890">
        <v>107150001</v>
      </c>
      <c r="L890" s="2">
        <v>44868</v>
      </c>
      <c r="M890">
        <v>17</v>
      </c>
      <c r="N890">
        <v>1</v>
      </c>
      <c r="O890">
        <v>0</v>
      </c>
      <c r="P890">
        <v>5</v>
      </c>
      <c r="Q890" t="s">
        <v>7</v>
      </c>
    </row>
    <row r="891" spans="1:22">
      <c r="A891" t="s">
        <v>1021</v>
      </c>
      <c r="B891" s="675" t="s">
        <v>979</v>
      </c>
      <c r="C891">
        <v>0.02</v>
      </c>
      <c r="D891" t="s">
        <v>757</v>
      </c>
      <c r="E891" s="672" t="s">
        <v>965</v>
      </c>
      <c r="F891" s="675" t="s">
        <v>979</v>
      </c>
      <c r="G891" s="675" t="s">
        <v>979</v>
      </c>
      <c r="H891">
        <v>9.6829999999999998</v>
      </c>
      <c r="J891" s="1" t="s">
        <v>770</v>
      </c>
      <c r="K891">
        <v>108020245</v>
      </c>
      <c r="L891" s="2">
        <v>45703</v>
      </c>
      <c r="M891">
        <v>1</v>
      </c>
      <c r="N891">
        <v>1</v>
      </c>
      <c r="O891">
        <v>19</v>
      </c>
      <c r="P891">
        <v>4</v>
      </c>
      <c r="Q891" t="s">
        <v>7</v>
      </c>
    </row>
    <row r="892" spans="1:22">
      <c r="A892" t="s">
        <v>1021</v>
      </c>
      <c r="B892" s="675" t="s">
        <v>979</v>
      </c>
      <c r="C892">
        <v>2.8000000000000001E-2</v>
      </c>
      <c r="D892" t="s">
        <v>757</v>
      </c>
      <c r="E892" s="672" t="s">
        <v>965</v>
      </c>
      <c r="F892" t="s">
        <v>1051</v>
      </c>
      <c r="G892" s="675" t="s">
        <v>979</v>
      </c>
      <c r="H892">
        <v>9.6910000000000007</v>
      </c>
      <c r="J892" s="1" t="s">
        <v>770</v>
      </c>
      <c r="K892">
        <v>106480598</v>
      </c>
      <c r="L892" s="2">
        <v>44180</v>
      </c>
      <c r="M892">
        <v>28</v>
      </c>
      <c r="N892">
        <v>1</v>
      </c>
      <c r="P892">
        <v>1</v>
      </c>
      <c r="Q892" t="s">
        <v>7</v>
      </c>
    </row>
    <row r="893" spans="1:22">
      <c r="A893" t="s">
        <v>754</v>
      </c>
      <c r="B893" s="674" t="s">
        <v>968</v>
      </c>
      <c r="C893">
        <v>4.0000000000000001E-3</v>
      </c>
      <c r="D893" t="s">
        <v>6</v>
      </c>
      <c r="E893" s="673" t="s">
        <v>963</v>
      </c>
      <c r="F893" s="675" t="s">
        <v>979</v>
      </c>
      <c r="G893" s="674" t="s">
        <v>968</v>
      </c>
      <c r="H893">
        <v>7.585</v>
      </c>
      <c r="J893" s="1" t="s">
        <v>770</v>
      </c>
      <c r="K893">
        <v>108386225</v>
      </c>
      <c r="L893" s="2">
        <v>46051</v>
      </c>
      <c r="M893">
        <v>32</v>
      </c>
      <c r="N893">
        <v>1</v>
      </c>
      <c r="O893">
        <v>0</v>
      </c>
      <c r="P893">
        <v>1</v>
      </c>
      <c r="Q893" t="s">
        <v>7</v>
      </c>
      <c r="R893">
        <v>35.175750000000001</v>
      </c>
      <c r="S893">
        <v>-79.429299999999998</v>
      </c>
      <c r="T893" t="s">
        <v>761</v>
      </c>
      <c r="U893" t="s">
        <v>367</v>
      </c>
      <c r="V893">
        <v>0.18490000000000001</v>
      </c>
    </row>
    <row r="894" spans="1:22">
      <c r="A894" t="s">
        <v>1021</v>
      </c>
      <c r="B894" s="674" t="s">
        <v>968</v>
      </c>
      <c r="C894">
        <v>0</v>
      </c>
      <c r="E894" s="673" t="s">
        <v>963</v>
      </c>
      <c r="F894" s="672" t="s">
        <v>965</v>
      </c>
      <c r="G894" s="674" t="s">
        <v>968</v>
      </c>
      <c r="H894">
        <v>7.5890000000000004</v>
      </c>
      <c r="J894" s="1" t="s">
        <v>770</v>
      </c>
      <c r="K894">
        <v>106805656</v>
      </c>
      <c r="L894" s="2">
        <v>44546</v>
      </c>
      <c r="M894">
        <v>21</v>
      </c>
      <c r="N894">
        <v>1</v>
      </c>
      <c r="O894">
        <v>8</v>
      </c>
      <c r="P894">
        <v>1</v>
      </c>
      <c r="Q894" t="s">
        <v>7</v>
      </c>
    </row>
    <row r="895" spans="1:22">
      <c r="A895" t="s">
        <v>1021</v>
      </c>
      <c r="B895" s="674" t="s">
        <v>968</v>
      </c>
      <c r="C895">
        <v>0</v>
      </c>
      <c r="E895" s="673" t="s">
        <v>963</v>
      </c>
      <c r="F895" s="672" t="s">
        <v>965</v>
      </c>
      <c r="G895" s="674" t="s">
        <v>968</v>
      </c>
      <c r="H895">
        <v>7.5890000000000004</v>
      </c>
      <c r="J895" s="1" t="s">
        <v>770</v>
      </c>
      <c r="K895">
        <v>105389685</v>
      </c>
      <c r="L895" s="2">
        <v>43145</v>
      </c>
      <c r="M895">
        <v>24</v>
      </c>
      <c r="N895">
        <v>1</v>
      </c>
      <c r="O895">
        <v>8</v>
      </c>
      <c r="P895">
        <v>1</v>
      </c>
      <c r="Q895" t="s">
        <v>8</v>
      </c>
    </row>
    <row r="896" spans="1:22">
      <c r="A896" t="s">
        <v>1021</v>
      </c>
      <c r="B896" s="674" t="s">
        <v>968</v>
      </c>
      <c r="C896">
        <v>0</v>
      </c>
      <c r="E896" s="673" t="s">
        <v>963</v>
      </c>
      <c r="F896" s="672" t="s">
        <v>1037</v>
      </c>
      <c r="G896" s="674" t="s">
        <v>968</v>
      </c>
      <c r="H896">
        <v>7.5890000000000004</v>
      </c>
      <c r="J896" s="1" t="s">
        <v>770</v>
      </c>
      <c r="K896">
        <v>105532236</v>
      </c>
      <c r="L896" s="2">
        <v>43265</v>
      </c>
      <c r="M896">
        <v>21</v>
      </c>
      <c r="N896">
        <v>1</v>
      </c>
      <c r="O896">
        <v>0</v>
      </c>
      <c r="P896">
        <v>1</v>
      </c>
      <c r="Q896" t="s">
        <v>7</v>
      </c>
    </row>
    <row r="897" spans="1:17">
      <c r="A897" t="s">
        <v>1021</v>
      </c>
      <c r="B897" s="674" t="s">
        <v>968</v>
      </c>
      <c r="C897">
        <v>0</v>
      </c>
      <c r="E897" s="673" t="s">
        <v>963</v>
      </c>
      <c r="F897" s="672" t="s">
        <v>961</v>
      </c>
      <c r="G897" s="674" t="s">
        <v>968</v>
      </c>
      <c r="H897">
        <v>7.5890000000000004</v>
      </c>
      <c r="J897" s="1" t="s">
        <v>770</v>
      </c>
      <c r="K897">
        <v>106744898</v>
      </c>
      <c r="L897" s="2">
        <v>44493</v>
      </c>
      <c r="M897">
        <v>24</v>
      </c>
      <c r="N897">
        <v>1</v>
      </c>
      <c r="O897">
        <v>8</v>
      </c>
      <c r="P897">
        <v>2</v>
      </c>
      <c r="Q897" t="s">
        <v>7</v>
      </c>
    </row>
    <row r="898" spans="1:17">
      <c r="A898" t="s">
        <v>1021</v>
      </c>
      <c r="B898" s="674" t="s">
        <v>968</v>
      </c>
      <c r="C898">
        <v>0</v>
      </c>
      <c r="E898" s="673" t="s">
        <v>963</v>
      </c>
      <c r="G898" s="674" t="s">
        <v>968</v>
      </c>
      <c r="H898">
        <v>7.5890000000000004</v>
      </c>
      <c r="J898" s="1" t="s">
        <v>770</v>
      </c>
      <c r="K898">
        <v>105377035</v>
      </c>
      <c r="L898" s="2">
        <v>43126</v>
      </c>
      <c r="M898">
        <v>21</v>
      </c>
      <c r="N898">
        <v>1</v>
      </c>
      <c r="P898">
        <v>1</v>
      </c>
      <c r="Q898" t="s">
        <v>3</v>
      </c>
    </row>
    <row r="899" spans="1:17">
      <c r="A899" t="s">
        <v>1021</v>
      </c>
      <c r="B899" s="674" t="s">
        <v>968</v>
      </c>
      <c r="C899">
        <v>8.9999999999999993E-3</v>
      </c>
      <c r="D899" t="s">
        <v>757</v>
      </c>
      <c r="E899" s="673" t="s">
        <v>963</v>
      </c>
      <c r="F899" s="672" t="s">
        <v>965</v>
      </c>
      <c r="G899" s="674" t="s">
        <v>968</v>
      </c>
      <c r="H899">
        <v>7.5979999999999999</v>
      </c>
      <c r="J899" s="1" t="s">
        <v>770</v>
      </c>
      <c r="K899">
        <v>106969127</v>
      </c>
      <c r="L899" s="2">
        <v>44708</v>
      </c>
      <c r="M899">
        <v>21</v>
      </c>
      <c r="N899">
        <v>2</v>
      </c>
      <c r="O899">
        <v>0</v>
      </c>
      <c r="P899">
        <v>1</v>
      </c>
      <c r="Q899" t="s">
        <v>7</v>
      </c>
    </row>
    <row r="900" spans="1:17">
      <c r="A900" t="s">
        <v>1021</v>
      </c>
      <c r="B900" s="674" t="s">
        <v>968</v>
      </c>
      <c r="C900">
        <v>8.9999999999999993E-3</v>
      </c>
      <c r="D900" t="s">
        <v>757</v>
      </c>
      <c r="E900" s="673" t="s">
        <v>963</v>
      </c>
      <c r="F900" s="672" t="s">
        <v>965</v>
      </c>
      <c r="G900" s="674" t="s">
        <v>968</v>
      </c>
      <c r="H900">
        <v>7.5979999999999999</v>
      </c>
      <c r="J900" s="1" t="s">
        <v>770</v>
      </c>
      <c r="K900">
        <v>106285452</v>
      </c>
      <c r="L900" s="2">
        <v>43978</v>
      </c>
      <c r="M900">
        <v>29</v>
      </c>
      <c r="N900">
        <v>3</v>
      </c>
      <c r="O900">
        <v>7</v>
      </c>
      <c r="P900">
        <v>1</v>
      </c>
      <c r="Q900" t="s">
        <v>3</v>
      </c>
    </row>
    <row r="901" spans="1:17">
      <c r="A901" t="s">
        <v>1021</v>
      </c>
      <c r="B901" s="674" t="s">
        <v>968</v>
      </c>
      <c r="C901">
        <v>2.7E-2</v>
      </c>
      <c r="D901" t="s">
        <v>757</v>
      </c>
      <c r="E901" s="673" t="s">
        <v>963</v>
      </c>
      <c r="F901" s="672" t="s">
        <v>965</v>
      </c>
      <c r="G901" s="674" t="s">
        <v>968</v>
      </c>
      <c r="H901">
        <v>7.6159999999999997</v>
      </c>
      <c r="J901" s="1" t="s">
        <v>770</v>
      </c>
      <c r="K901">
        <v>105777175</v>
      </c>
      <c r="L901" s="2">
        <v>43497</v>
      </c>
      <c r="M901">
        <v>21</v>
      </c>
      <c r="N901">
        <v>1</v>
      </c>
      <c r="O901">
        <v>0</v>
      </c>
      <c r="P901">
        <v>2</v>
      </c>
      <c r="Q901" t="s">
        <v>7</v>
      </c>
    </row>
    <row r="902" spans="1:17">
      <c r="A902" t="s">
        <v>1021</v>
      </c>
      <c r="B902" s="674" t="s">
        <v>968</v>
      </c>
      <c r="C902">
        <v>2.8000000000000001E-2</v>
      </c>
      <c r="D902" t="s">
        <v>762</v>
      </c>
      <c r="E902" s="672" t="s">
        <v>965</v>
      </c>
      <c r="F902" s="673" t="s">
        <v>963</v>
      </c>
      <c r="G902" s="674" t="s">
        <v>968</v>
      </c>
      <c r="H902">
        <v>7.7220000000000004</v>
      </c>
      <c r="J902" s="1" t="s">
        <v>770</v>
      </c>
      <c r="K902">
        <v>108340932</v>
      </c>
      <c r="L902" s="2">
        <v>46008</v>
      </c>
      <c r="M902">
        <v>22</v>
      </c>
      <c r="N902">
        <v>1</v>
      </c>
      <c r="O902">
        <v>7</v>
      </c>
      <c r="P902">
        <v>4</v>
      </c>
      <c r="Q902" t="s">
        <v>7</v>
      </c>
    </row>
    <row r="903" spans="1:17">
      <c r="A903" t="s">
        <v>1021</v>
      </c>
      <c r="B903" s="674" t="s">
        <v>968</v>
      </c>
      <c r="C903">
        <v>0.02</v>
      </c>
      <c r="D903" t="s">
        <v>6</v>
      </c>
      <c r="E903" s="672" t="s">
        <v>965</v>
      </c>
      <c r="F903" s="673" t="s">
        <v>963</v>
      </c>
      <c r="G903" s="674" t="s">
        <v>968</v>
      </c>
      <c r="H903">
        <v>7.73</v>
      </c>
      <c r="J903" s="1" t="s">
        <v>770</v>
      </c>
      <c r="K903">
        <v>107956108</v>
      </c>
      <c r="L903" s="2">
        <v>45637</v>
      </c>
      <c r="M903">
        <v>21</v>
      </c>
      <c r="N903">
        <v>1</v>
      </c>
      <c r="O903">
        <v>0</v>
      </c>
      <c r="P903">
        <v>6</v>
      </c>
      <c r="Q903" t="s">
        <v>7</v>
      </c>
    </row>
    <row r="904" spans="1:17">
      <c r="A904" t="s">
        <v>1021</v>
      </c>
      <c r="B904" s="674" t="s">
        <v>968</v>
      </c>
      <c r="C904">
        <v>1.9E-2</v>
      </c>
      <c r="D904" t="s">
        <v>762</v>
      </c>
      <c r="E904" s="672" t="s">
        <v>965</v>
      </c>
      <c r="F904" s="673" t="s">
        <v>963</v>
      </c>
      <c r="G904" s="674" t="s">
        <v>968</v>
      </c>
      <c r="H904">
        <v>7.7309999999999999</v>
      </c>
      <c r="J904" s="1" t="s">
        <v>770</v>
      </c>
      <c r="K904">
        <v>107441145</v>
      </c>
      <c r="L904" s="2">
        <v>45168</v>
      </c>
      <c r="M904">
        <v>21</v>
      </c>
      <c r="N904">
        <v>2</v>
      </c>
      <c r="O904">
        <v>7</v>
      </c>
      <c r="P904">
        <v>1</v>
      </c>
      <c r="Q904" t="s">
        <v>7</v>
      </c>
    </row>
    <row r="905" spans="1:17">
      <c r="A905" t="s">
        <v>1021</v>
      </c>
      <c r="B905" s="674" t="s">
        <v>968</v>
      </c>
      <c r="C905">
        <v>1.9E-2</v>
      </c>
      <c r="D905" t="s">
        <v>6</v>
      </c>
      <c r="E905" s="672" t="s">
        <v>962</v>
      </c>
      <c r="F905" t="s">
        <v>1163</v>
      </c>
      <c r="G905" s="674" t="s">
        <v>968</v>
      </c>
      <c r="H905">
        <v>7.7309999999999999</v>
      </c>
      <c r="J905" s="1" t="s">
        <v>770</v>
      </c>
      <c r="K905">
        <v>107238351</v>
      </c>
      <c r="L905" s="2">
        <v>44961</v>
      </c>
      <c r="M905">
        <v>28</v>
      </c>
      <c r="N905">
        <v>1</v>
      </c>
      <c r="O905">
        <v>7</v>
      </c>
      <c r="P905">
        <v>1</v>
      </c>
      <c r="Q905" t="s">
        <v>7</v>
      </c>
    </row>
    <row r="906" spans="1:17">
      <c r="A906" t="s">
        <v>1021</v>
      </c>
      <c r="B906" s="674" t="s">
        <v>968</v>
      </c>
      <c r="C906">
        <v>1.4999999999999999E-2</v>
      </c>
      <c r="D906" t="s">
        <v>6</v>
      </c>
      <c r="E906" s="672" t="s">
        <v>965</v>
      </c>
      <c r="F906" s="673" t="s">
        <v>963</v>
      </c>
      <c r="G906" s="674" t="s">
        <v>968</v>
      </c>
      <c r="H906">
        <v>7.7350000000000003</v>
      </c>
      <c r="J906" s="1" t="s">
        <v>770</v>
      </c>
      <c r="K906">
        <v>105196704</v>
      </c>
      <c r="L906" s="2">
        <v>42951</v>
      </c>
      <c r="M906">
        <v>21</v>
      </c>
      <c r="N906">
        <v>1</v>
      </c>
      <c r="O906">
        <v>7</v>
      </c>
      <c r="P906">
        <v>1</v>
      </c>
      <c r="Q906" t="s">
        <v>3</v>
      </c>
    </row>
    <row r="907" spans="1:17">
      <c r="A907" t="s">
        <v>1021</v>
      </c>
      <c r="B907" s="674" t="s">
        <v>968</v>
      </c>
      <c r="C907">
        <v>0.01</v>
      </c>
      <c r="D907" t="s">
        <v>6</v>
      </c>
      <c r="E907" s="672" t="s">
        <v>965</v>
      </c>
      <c r="F907" s="675" t="s">
        <v>1023</v>
      </c>
      <c r="G907" s="674" t="s">
        <v>968</v>
      </c>
      <c r="H907">
        <v>7.74</v>
      </c>
      <c r="J907" s="1" t="s">
        <v>770</v>
      </c>
      <c r="K907">
        <v>107559810</v>
      </c>
      <c r="L907" s="2">
        <v>45271</v>
      </c>
      <c r="M907">
        <v>28</v>
      </c>
      <c r="N907">
        <v>1</v>
      </c>
      <c r="O907">
        <v>0</v>
      </c>
      <c r="P907">
        <v>1</v>
      </c>
      <c r="Q907" t="s">
        <v>7</v>
      </c>
    </row>
    <row r="908" spans="1:17">
      <c r="A908" t="s">
        <v>1021</v>
      </c>
      <c r="B908" s="674" t="s">
        <v>968</v>
      </c>
      <c r="C908">
        <v>8.9999999999999993E-3</v>
      </c>
      <c r="D908" t="s">
        <v>6</v>
      </c>
      <c r="E908" s="672" t="s">
        <v>965</v>
      </c>
      <c r="F908" s="673" t="s">
        <v>963</v>
      </c>
      <c r="G908" s="674" t="s">
        <v>968</v>
      </c>
      <c r="H908">
        <v>7.7409999999999997</v>
      </c>
      <c r="J908" s="1" t="s">
        <v>770</v>
      </c>
      <c r="K908">
        <v>106064224</v>
      </c>
      <c r="L908" s="2">
        <v>43767</v>
      </c>
      <c r="M908">
        <v>21</v>
      </c>
      <c r="N908">
        <v>1</v>
      </c>
      <c r="O908">
        <v>7</v>
      </c>
      <c r="P908">
        <v>1</v>
      </c>
      <c r="Q908" t="s">
        <v>3</v>
      </c>
    </row>
    <row r="909" spans="1:17">
      <c r="A909" t="s">
        <v>1021</v>
      </c>
      <c r="B909" s="674" t="s">
        <v>968</v>
      </c>
      <c r="C909">
        <v>8.9999999999999993E-3</v>
      </c>
      <c r="D909" t="s">
        <v>6</v>
      </c>
      <c r="E909" s="672" t="s">
        <v>965</v>
      </c>
      <c r="F909" s="673" t="s">
        <v>963</v>
      </c>
      <c r="G909" s="674" t="s">
        <v>968</v>
      </c>
      <c r="H909">
        <v>7.7409999999999997</v>
      </c>
      <c r="J909" s="1" t="s">
        <v>770</v>
      </c>
      <c r="K909">
        <v>108073220</v>
      </c>
      <c r="L909" s="2">
        <v>45756</v>
      </c>
      <c r="M909">
        <v>30</v>
      </c>
      <c r="N909">
        <v>1</v>
      </c>
      <c r="O909">
        <v>0</v>
      </c>
      <c r="P909">
        <v>1</v>
      </c>
      <c r="Q909" t="s">
        <v>7</v>
      </c>
    </row>
    <row r="910" spans="1:17">
      <c r="A910" t="s">
        <v>1021</v>
      </c>
      <c r="B910" s="674" t="s">
        <v>968</v>
      </c>
      <c r="C910">
        <v>8.9999999999999993E-3</v>
      </c>
      <c r="D910" t="s">
        <v>6</v>
      </c>
      <c r="E910" s="672" t="s">
        <v>965</v>
      </c>
      <c r="F910" s="672" t="s">
        <v>1037</v>
      </c>
      <c r="G910" s="674" t="s">
        <v>968</v>
      </c>
      <c r="H910">
        <v>7.7409999999999997</v>
      </c>
      <c r="J910" s="1" t="s">
        <v>770</v>
      </c>
      <c r="K910">
        <v>106909386</v>
      </c>
      <c r="L910" s="2">
        <v>44652</v>
      </c>
      <c r="M910">
        <v>28</v>
      </c>
      <c r="N910">
        <v>1</v>
      </c>
      <c r="O910">
        <v>0</v>
      </c>
      <c r="P910">
        <v>1</v>
      </c>
      <c r="Q910" t="s">
        <v>3</v>
      </c>
    </row>
    <row r="911" spans="1:17">
      <c r="A911" t="s">
        <v>1021</v>
      </c>
      <c r="B911" s="674" t="s">
        <v>968</v>
      </c>
      <c r="C911">
        <v>8.0000000000000002E-3</v>
      </c>
      <c r="D911" t="s">
        <v>6</v>
      </c>
      <c r="E911" s="672" t="s">
        <v>965</v>
      </c>
      <c r="F911" s="673" t="s">
        <v>963</v>
      </c>
      <c r="G911" s="674" t="s">
        <v>968</v>
      </c>
      <c r="H911">
        <v>7.742</v>
      </c>
      <c r="J911" s="1" t="s">
        <v>770</v>
      </c>
      <c r="K911">
        <v>105558076</v>
      </c>
      <c r="L911" s="2">
        <v>43309</v>
      </c>
      <c r="M911">
        <v>30</v>
      </c>
      <c r="N911">
        <v>1</v>
      </c>
      <c r="O911">
        <v>7</v>
      </c>
      <c r="P911">
        <v>1</v>
      </c>
      <c r="Q911" t="s">
        <v>7</v>
      </c>
    </row>
    <row r="912" spans="1:17">
      <c r="A912" t="s">
        <v>1021</v>
      </c>
      <c r="B912" s="674" t="s">
        <v>968</v>
      </c>
      <c r="C912">
        <v>7.0000000000000001E-3</v>
      </c>
      <c r="D912" t="s">
        <v>6</v>
      </c>
      <c r="E912" s="672" t="s">
        <v>965</v>
      </c>
      <c r="F912" s="673" t="s">
        <v>963</v>
      </c>
      <c r="G912" s="674" t="s">
        <v>968</v>
      </c>
      <c r="H912">
        <v>7.7430000000000003</v>
      </c>
      <c r="J912" s="1" t="s">
        <v>770</v>
      </c>
      <c r="K912">
        <v>106036367</v>
      </c>
      <c r="L912" s="2">
        <v>43747</v>
      </c>
      <c r="M912">
        <v>30</v>
      </c>
      <c r="N912">
        <v>1</v>
      </c>
      <c r="O912">
        <v>7</v>
      </c>
      <c r="P912">
        <v>1</v>
      </c>
      <c r="Q912" t="s">
        <v>7</v>
      </c>
    </row>
    <row r="913" spans="1:17">
      <c r="A913" t="s">
        <v>1021</v>
      </c>
      <c r="B913" s="674" t="s">
        <v>968</v>
      </c>
      <c r="C913">
        <v>6.0000000000000001E-3</v>
      </c>
      <c r="D913" t="s">
        <v>6</v>
      </c>
      <c r="E913" s="672" t="s">
        <v>962</v>
      </c>
      <c r="F913" t="s">
        <v>1024</v>
      </c>
      <c r="G913" s="674" t="s">
        <v>968</v>
      </c>
      <c r="H913">
        <v>7.7439999999999998</v>
      </c>
      <c r="J913" s="1" t="s">
        <v>770</v>
      </c>
      <c r="K913">
        <v>106883933</v>
      </c>
      <c r="L913" s="2">
        <v>44621</v>
      </c>
      <c r="M913">
        <v>21</v>
      </c>
      <c r="N913">
        <v>1</v>
      </c>
      <c r="O913">
        <v>0</v>
      </c>
      <c r="P913">
        <v>1</v>
      </c>
      <c r="Q913" t="s">
        <v>7</v>
      </c>
    </row>
    <row r="914" spans="1:17">
      <c r="A914" t="s">
        <v>1021</v>
      </c>
      <c r="B914" s="674" t="s">
        <v>968</v>
      </c>
      <c r="C914">
        <v>5.0000000000000001E-3</v>
      </c>
      <c r="D914" t="s">
        <v>763</v>
      </c>
      <c r="E914" s="672" t="s">
        <v>965</v>
      </c>
      <c r="F914" s="673" t="s">
        <v>963</v>
      </c>
      <c r="G914" s="674" t="s">
        <v>968</v>
      </c>
      <c r="H914">
        <v>7.7450000000000001</v>
      </c>
      <c r="J914" s="1" t="s">
        <v>770</v>
      </c>
      <c r="K914">
        <v>107464912</v>
      </c>
      <c r="L914" s="2">
        <v>45190</v>
      </c>
      <c r="M914">
        <v>21</v>
      </c>
      <c r="N914">
        <v>1</v>
      </c>
      <c r="O914">
        <v>7</v>
      </c>
      <c r="P914">
        <v>5</v>
      </c>
      <c r="Q914" t="s">
        <v>7</v>
      </c>
    </row>
    <row r="915" spans="1:17">
      <c r="A915" t="s">
        <v>1021</v>
      </c>
      <c r="B915" s="674" t="s">
        <v>968</v>
      </c>
      <c r="C915">
        <v>4.0000000000000001E-3</v>
      </c>
      <c r="D915" t="s">
        <v>762</v>
      </c>
      <c r="E915" s="672" t="s">
        <v>965</v>
      </c>
      <c r="F915" s="673" t="s">
        <v>963</v>
      </c>
      <c r="G915" s="674" t="s">
        <v>968</v>
      </c>
      <c r="H915">
        <v>7.7460000000000004</v>
      </c>
      <c r="J915" s="1" t="s">
        <v>770</v>
      </c>
      <c r="K915">
        <v>107816885</v>
      </c>
      <c r="L915" s="2">
        <v>45518</v>
      </c>
      <c r="M915">
        <v>21</v>
      </c>
      <c r="N915">
        <v>1</v>
      </c>
      <c r="O915">
        <v>7</v>
      </c>
      <c r="P915">
        <v>1</v>
      </c>
      <c r="Q915" t="s">
        <v>7</v>
      </c>
    </row>
    <row r="916" spans="1:17">
      <c r="A916" t="s">
        <v>1021</v>
      </c>
      <c r="B916" s="674" t="s">
        <v>968</v>
      </c>
      <c r="C916">
        <v>4.0000000000000001E-3</v>
      </c>
      <c r="D916" t="s">
        <v>6</v>
      </c>
      <c r="E916" s="672" t="s">
        <v>965</v>
      </c>
      <c r="F916" s="672" t="s">
        <v>1037</v>
      </c>
      <c r="G916" s="674" t="s">
        <v>968</v>
      </c>
      <c r="H916">
        <v>7.7460000000000004</v>
      </c>
      <c r="J916" s="1" t="s">
        <v>770</v>
      </c>
      <c r="K916">
        <v>108061436</v>
      </c>
      <c r="L916" s="2">
        <v>45744</v>
      </c>
      <c r="M916">
        <v>28</v>
      </c>
      <c r="N916">
        <v>1</v>
      </c>
      <c r="O916">
        <v>7</v>
      </c>
      <c r="P916">
        <v>1</v>
      </c>
      <c r="Q916" t="s">
        <v>7</v>
      </c>
    </row>
    <row r="917" spans="1:17">
      <c r="A917" t="s">
        <v>754</v>
      </c>
      <c r="B917" s="674" t="s">
        <v>968</v>
      </c>
      <c r="C917">
        <v>3.0000000000000001E-3</v>
      </c>
      <c r="D917" t="s">
        <v>6</v>
      </c>
      <c r="E917" s="672" t="s">
        <v>962</v>
      </c>
      <c r="F917" t="s">
        <v>1024</v>
      </c>
      <c r="G917" s="674" t="s">
        <v>968</v>
      </c>
      <c r="H917">
        <v>7.7469999999999999</v>
      </c>
      <c r="J917" s="1" t="s">
        <v>770</v>
      </c>
      <c r="K917">
        <v>106235643</v>
      </c>
      <c r="L917" s="2">
        <v>43971</v>
      </c>
      <c r="M917">
        <v>21</v>
      </c>
      <c r="N917">
        <v>2</v>
      </c>
      <c r="O917">
        <v>12</v>
      </c>
      <c r="P917">
        <v>1</v>
      </c>
      <c r="Q917" t="s">
        <v>7</v>
      </c>
    </row>
    <row r="918" spans="1:17">
      <c r="A918" t="s">
        <v>754</v>
      </c>
      <c r="B918" s="674" t="s">
        <v>968</v>
      </c>
      <c r="C918">
        <v>2E-3</v>
      </c>
      <c r="D918" t="s">
        <v>6</v>
      </c>
      <c r="E918" s="672" t="s">
        <v>962</v>
      </c>
      <c r="F918" t="s">
        <v>1024</v>
      </c>
      <c r="G918" s="674" t="s">
        <v>968</v>
      </c>
      <c r="H918">
        <v>7.7480000000000002</v>
      </c>
      <c r="J918" s="1" t="s">
        <v>770</v>
      </c>
      <c r="K918">
        <v>106490019</v>
      </c>
      <c r="L918" s="2">
        <v>44236</v>
      </c>
      <c r="M918">
        <v>21</v>
      </c>
      <c r="N918">
        <v>1</v>
      </c>
      <c r="O918">
        <v>12</v>
      </c>
      <c r="P918">
        <v>1</v>
      </c>
      <c r="Q918" t="s">
        <v>3</v>
      </c>
    </row>
    <row r="919" spans="1:17">
      <c r="A919" t="s">
        <v>754</v>
      </c>
      <c r="B919" s="674" t="s">
        <v>968</v>
      </c>
      <c r="C919">
        <v>2E-3</v>
      </c>
      <c r="D919" t="s">
        <v>6</v>
      </c>
      <c r="E919" s="672" t="s">
        <v>962</v>
      </c>
      <c r="F919" t="s">
        <v>1024</v>
      </c>
      <c r="G919" s="674" t="s">
        <v>968</v>
      </c>
      <c r="H919">
        <v>7.7480000000000002</v>
      </c>
      <c r="J919" s="1" t="s">
        <v>770</v>
      </c>
      <c r="K919">
        <v>106874645</v>
      </c>
      <c r="L919" s="2">
        <v>44619</v>
      </c>
      <c r="M919">
        <v>21</v>
      </c>
      <c r="N919">
        <v>2</v>
      </c>
      <c r="O919">
        <v>12</v>
      </c>
      <c r="P919">
        <v>1</v>
      </c>
      <c r="Q919" t="s">
        <v>7</v>
      </c>
    </row>
    <row r="920" spans="1:17">
      <c r="A920" t="s">
        <v>1021</v>
      </c>
      <c r="B920" s="674" t="s">
        <v>1081</v>
      </c>
      <c r="C920">
        <v>0</v>
      </c>
      <c r="D920" t="s">
        <v>758</v>
      </c>
      <c r="E920" s="672" t="s">
        <v>965</v>
      </c>
      <c r="F920" s="675" t="s">
        <v>966</v>
      </c>
      <c r="G920" s="674" t="s">
        <v>968</v>
      </c>
      <c r="H920">
        <v>7.75</v>
      </c>
      <c r="J920" s="1" t="s">
        <v>770</v>
      </c>
      <c r="K920">
        <v>105353829</v>
      </c>
      <c r="L920" s="2">
        <v>43099</v>
      </c>
      <c r="M920">
        <v>31</v>
      </c>
      <c r="N920">
        <v>1</v>
      </c>
      <c r="O920">
        <v>0</v>
      </c>
      <c r="P920">
        <v>1</v>
      </c>
      <c r="Q920" t="s">
        <v>7</v>
      </c>
    </row>
    <row r="921" spans="1:17">
      <c r="A921" t="s">
        <v>1021</v>
      </c>
      <c r="B921" s="674" t="s">
        <v>968</v>
      </c>
      <c r="C921">
        <v>0</v>
      </c>
      <c r="E921" s="672" t="s">
        <v>965</v>
      </c>
      <c r="F921" s="673" t="s">
        <v>1076</v>
      </c>
      <c r="G921" s="674" t="s">
        <v>968</v>
      </c>
      <c r="H921">
        <v>7.75</v>
      </c>
      <c r="J921" s="1" t="s">
        <v>770</v>
      </c>
      <c r="K921">
        <v>105186092</v>
      </c>
      <c r="L921" s="2">
        <v>42936</v>
      </c>
      <c r="M921">
        <v>21</v>
      </c>
      <c r="N921">
        <v>2</v>
      </c>
      <c r="O921">
        <v>7</v>
      </c>
      <c r="P921">
        <v>5</v>
      </c>
      <c r="Q921" t="s">
        <v>7</v>
      </c>
    </row>
    <row r="922" spans="1:17">
      <c r="A922" t="s">
        <v>1021</v>
      </c>
      <c r="B922" s="674" t="s">
        <v>968</v>
      </c>
      <c r="C922">
        <v>0</v>
      </c>
      <c r="E922" s="672" t="s">
        <v>965</v>
      </c>
      <c r="F922" s="673" t="s">
        <v>1192</v>
      </c>
      <c r="G922" s="674" t="s">
        <v>968</v>
      </c>
      <c r="H922">
        <v>7.75</v>
      </c>
      <c r="J922" s="1" t="s">
        <v>770</v>
      </c>
      <c r="K922">
        <v>108268613</v>
      </c>
      <c r="L922" s="2">
        <v>45947</v>
      </c>
      <c r="M922">
        <v>21</v>
      </c>
      <c r="N922">
        <v>1</v>
      </c>
      <c r="O922">
        <v>11</v>
      </c>
      <c r="P922">
        <v>1</v>
      </c>
      <c r="Q922" t="s">
        <v>7</v>
      </c>
    </row>
    <row r="923" spans="1:17">
      <c r="A923" t="s">
        <v>1021</v>
      </c>
      <c r="B923" s="674" t="s">
        <v>968</v>
      </c>
      <c r="C923">
        <v>0</v>
      </c>
      <c r="E923" s="672" t="s">
        <v>965</v>
      </c>
      <c r="F923" s="674" t="s">
        <v>986</v>
      </c>
      <c r="G923" s="674" t="s">
        <v>968</v>
      </c>
      <c r="H923">
        <v>7.75</v>
      </c>
      <c r="J923" s="1" t="s">
        <v>770</v>
      </c>
      <c r="K923">
        <v>108209250</v>
      </c>
      <c r="L923" s="2">
        <v>45890</v>
      </c>
      <c r="M923">
        <v>21</v>
      </c>
      <c r="N923">
        <v>1</v>
      </c>
      <c r="O923">
        <v>7</v>
      </c>
      <c r="P923">
        <v>1</v>
      </c>
      <c r="Q923" t="s">
        <v>7</v>
      </c>
    </row>
    <row r="924" spans="1:17">
      <c r="A924" t="s">
        <v>1021</v>
      </c>
      <c r="B924" s="674" t="s">
        <v>968</v>
      </c>
      <c r="C924">
        <v>0</v>
      </c>
      <c r="E924" s="672" t="s">
        <v>965</v>
      </c>
      <c r="F924" s="674" t="s">
        <v>986</v>
      </c>
      <c r="G924" s="674" t="s">
        <v>968</v>
      </c>
      <c r="H924">
        <v>7.75</v>
      </c>
      <c r="J924" s="1" t="s">
        <v>770</v>
      </c>
      <c r="K924">
        <v>108288216</v>
      </c>
      <c r="L924" s="2">
        <v>45963</v>
      </c>
      <c r="M924">
        <v>28</v>
      </c>
      <c r="N924">
        <v>1</v>
      </c>
      <c r="O924">
        <v>7</v>
      </c>
      <c r="P924">
        <v>1</v>
      </c>
      <c r="Q924" t="s">
        <v>7</v>
      </c>
    </row>
    <row r="925" spans="1:17">
      <c r="A925" t="s">
        <v>1021</v>
      </c>
      <c r="B925" s="674" t="s">
        <v>968</v>
      </c>
      <c r="C925">
        <v>0</v>
      </c>
      <c r="E925" s="672" t="s">
        <v>965</v>
      </c>
      <c r="F925" t="s">
        <v>1178</v>
      </c>
      <c r="G925" s="674" t="s">
        <v>968</v>
      </c>
      <c r="H925">
        <v>7.75</v>
      </c>
      <c r="J925" s="1" t="s">
        <v>770</v>
      </c>
      <c r="K925">
        <v>107922335</v>
      </c>
      <c r="L925" s="2">
        <v>45610</v>
      </c>
      <c r="M925">
        <v>17</v>
      </c>
      <c r="N925">
        <v>1</v>
      </c>
      <c r="O925">
        <v>0</v>
      </c>
      <c r="P925">
        <v>6</v>
      </c>
      <c r="Q925" t="s">
        <v>7</v>
      </c>
    </row>
    <row r="926" spans="1:17">
      <c r="A926" t="s">
        <v>1021</v>
      </c>
      <c r="B926" s="674" t="s">
        <v>968</v>
      </c>
      <c r="C926">
        <v>0</v>
      </c>
      <c r="E926" s="672" t="s">
        <v>965</v>
      </c>
      <c r="F926" s="675" t="s">
        <v>1129</v>
      </c>
      <c r="G926" s="674" t="s">
        <v>968</v>
      </c>
      <c r="H926">
        <v>7.75</v>
      </c>
      <c r="J926" s="1" t="s">
        <v>770</v>
      </c>
      <c r="K926">
        <v>106556302</v>
      </c>
      <c r="L926" s="2">
        <v>44258</v>
      </c>
      <c r="M926">
        <v>30</v>
      </c>
      <c r="N926">
        <v>1</v>
      </c>
      <c r="P926">
        <v>1</v>
      </c>
      <c r="Q926" t="s">
        <v>7</v>
      </c>
    </row>
    <row r="927" spans="1:17">
      <c r="A927" t="s">
        <v>1021</v>
      </c>
      <c r="B927" s="674" t="s">
        <v>968</v>
      </c>
      <c r="C927">
        <v>0</v>
      </c>
      <c r="E927" s="672" t="s">
        <v>965</v>
      </c>
      <c r="F927" t="s">
        <v>1072</v>
      </c>
      <c r="G927" s="674" t="s">
        <v>968</v>
      </c>
      <c r="H927">
        <v>7.75</v>
      </c>
      <c r="J927" s="1" t="s">
        <v>770</v>
      </c>
      <c r="K927">
        <v>104982045</v>
      </c>
      <c r="L927" s="2">
        <v>42723</v>
      </c>
      <c r="M927">
        <v>21</v>
      </c>
      <c r="N927">
        <v>1</v>
      </c>
      <c r="O927">
        <v>7</v>
      </c>
      <c r="P927">
        <v>4</v>
      </c>
      <c r="Q927" t="s">
        <v>7</v>
      </c>
    </row>
    <row r="928" spans="1:17">
      <c r="A928" t="s">
        <v>1021</v>
      </c>
      <c r="B928" s="674" t="s">
        <v>968</v>
      </c>
      <c r="C928">
        <v>0</v>
      </c>
      <c r="E928" s="672" t="s">
        <v>965</v>
      </c>
      <c r="F928" t="s">
        <v>1072</v>
      </c>
      <c r="G928" s="674" t="s">
        <v>968</v>
      </c>
      <c r="H928">
        <v>7.75</v>
      </c>
      <c r="J928" s="1" t="s">
        <v>770</v>
      </c>
      <c r="K928">
        <v>105026731</v>
      </c>
      <c r="L928" s="2">
        <v>42790</v>
      </c>
      <c r="M928">
        <v>21</v>
      </c>
      <c r="N928">
        <v>1</v>
      </c>
      <c r="O928">
        <v>7</v>
      </c>
      <c r="P928">
        <v>1</v>
      </c>
      <c r="Q928" t="s">
        <v>3</v>
      </c>
    </row>
    <row r="929" spans="1:17">
      <c r="A929" t="s">
        <v>1021</v>
      </c>
      <c r="B929" s="674" t="s">
        <v>968</v>
      </c>
      <c r="C929">
        <v>0</v>
      </c>
      <c r="E929" s="672" t="s">
        <v>965</v>
      </c>
      <c r="F929" t="s">
        <v>1072</v>
      </c>
      <c r="G929" s="674" t="s">
        <v>968</v>
      </c>
      <c r="H929">
        <v>7.75</v>
      </c>
      <c r="J929" s="1" t="s">
        <v>770</v>
      </c>
      <c r="K929">
        <v>105257889</v>
      </c>
      <c r="L929" s="2">
        <v>43010</v>
      </c>
      <c r="M929">
        <v>21</v>
      </c>
      <c r="N929">
        <v>1</v>
      </c>
      <c r="O929">
        <v>7</v>
      </c>
      <c r="P929">
        <v>1</v>
      </c>
      <c r="Q929" t="s">
        <v>7</v>
      </c>
    </row>
    <row r="930" spans="1:17">
      <c r="A930" t="s">
        <v>1021</v>
      </c>
      <c r="B930" s="674" t="s">
        <v>968</v>
      </c>
      <c r="C930">
        <v>0</v>
      </c>
      <c r="E930" s="672" t="s">
        <v>965</v>
      </c>
      <c r="F930" t="s">
        <v>1072</v>
      </c>
      <c r="G930" s="674" t="s">
        <v>968</v>
      </c>
      <c r="H930">
        <v>7.75</v>
      </c>
      <c r="J930" s="1" t="s">
        <v>770</v>
      </c>
      <c r="K930">
        <v>105941856</v>
      </c>
      <c r="L930" s="2">
        <v>43658</v>
      </c>
      <c r="M930">
        <v>21</v>
      </c>
      <c r="N930">
        <v>1</v>
      </c>
      <c r="O930">
        <v>7</v>
      </c>
      <c r="P930">
        <v>3</v>
      </c>
      <c r="Q930" t="s">
        <v>7</v>
      </c>
    </row>
    <row r="931" spans="1:17">
      <c r="A931" t="s">
        <v>1021</v>
      </c>
      <c r="B931" s="674" t="s">
        <v>968</v>
      </c>
      <c r="C931">
        <v>0</v>
      </c>
      <c r="E931" s="672" t="s">
        <v>965</v>
      </c>
      <c r="F931" t="s">
        <v>1072</v>
      </c>
      <c r="G931" s="674" t="s">
        <v>968</v>
      </c>
      <c r="H931">
        <v>7.75</v>
      </c>
      <c r="J931" s="1" t="s">
        <v>770</v>
      </c>
      <c r="K931">
        <v>106906416</v>
      </c>
      <c r="L931" s="2">
        <v>44650</v>
      </c>
      <c r="M931">
        <v>21</v>
      </c>
      <c r="N931">
        <v>1</v>
      </c>
      <c r="O931">
        <v>7</v>
      </c>
      <c r="P931">
        <v>1</v>
      </c>
      <c r="Q931" t="s">
        <v>7</v>
      </c>
    </row>
    <row r="932" spans="1:17">
      <c r="A932" t="s">
        <v>1021</v>
      </c>
      <c r="B932" s="674" t="s">
        <v>968</v>
      </c>
      <c r="C932">
        <v>0</v>
      </c>
      <c r="E932" s="672" t="s">
        <v>965</v>
      </c>
      <c r="F932" t="s">
        <v>1072</v>
      </c>
      <c r="G932" s="674" t="s">
        <v>968</v>
      </c>
      <c r="H932">
        <v>7.75</v>
      </c>
      <c r="J932" s="1" t="s">
        <v>770</v>
      </c>
      <c r="K932">
        <v>107479287</v>
      </c>
      <c r="L932" s="2">
        <v>45206</v>
      </c>
      <c r="M932">
        <v>21</v>
      </c>
      <c r="N932">
        <v>2</v>
      </c>
      <c r="O932">
        <v>7</v>
      </c>
      <c r="P932">
        <v>1</v>
      </c>
      <c r="Q932" t="s">
        <v>7</v>
      </c>
    </row>
    <row r="933" spans="1:17">
      <c r="A933" t="s">
        <v>1021</v>
      </c>
      <c r="B933" s="674" t="s">
        <v>968</v>
      </c>
      <c r="C933">
        <v>0</v>
      </c>
      <c r="D933" t="s">
        <v>765</v>
      </c>
      <c r="E933" s="672" t="s">
        <v>965</v>
      </c>
      <c r="F933" t="s">
        <v>1072</v>
      </c>
      <c r="G933" s="674" t="s">
        <v>968</v>
      </c>
      <c r="H933">
        <v>7.75</v>
      </c>
      <c r="J933" s="1" t="s">
        <v>770</v>
      </c>
      <c r="K933">
        <v>107724706</v>
      </c>
      <c r="L933" s="2">
        <v>45428</v>
      </c>
      <c r="M933">
        <v>21</v>
      </c>
      <c r="N933">
        <v>1</v>
      </c>
      <c r="O933">
        <v>0</v>
      </c>
      <c r="P933">
        <v>2</v>
      </c>
      <c r="Q933" t="s">
        <v>7</v>
      </c>
    </row>
    <row r="934" spans="1:17">
      <c r="A934" t="s">
        <v>1021</v>
      </c>
      <c r="B934" s="674" t="s">
        <v>968</v>
      </c>
      <c r="C934">
        <v>0</v>
      </c>
      <c r="E934" s="672" t="s">
        <v>965</v>
      </c>
      <c r="F934" t="s">
        <v>1072</v>
      </c>
      <c r="G934" s="674" t="s">
        <v>968</v>
      </c>
      <c r="H934">
        <v>7.75</v>
      </c>
      <c r="J934" s="1" t="s">
        <v>770</v>
      </c>
      <c r="K934">
        <v>107965406</v>
      </c>
      <c r="L934" s="2">
        <v>45646</v>
      </c>
      <c r="M934">
        <v>23</v>
      </c>
      <c r="N934">
        <v>2</v>
      </c>
      <c r="O934">
        <v>7</v>
      </c>
      <c r="P934">
        <v>5</v>
      </c>
      <c r="Q934" t="s">
        <v>7</v>
      </c>
    </row>
    <row r="935" spans="1:17">
      <c r="A935" t="s">
        <v>1021</v>
      </c>
      <c r="B935" s="674" t="s">
        <v>968</v>
      </c>
      <c r="C935">
        <v>0</v>
      </c>
      <c r="E935" s="672" t="s">
        <v>965</v>
      </c>
      <c r="F935" t="s">
        <v>1072</v>
      </c>
      <c r="G935" s="674" t="s">
        <v>968</v>
      </c>
      <c r="H935">
        <v>7.75</v>
      </c>
      <c r="J935" s="1" t="s">
        <v>770</v>
      </c>
      <c r="K935">
        <v>106363253</v>
      </c>
      <c r="L935" s="2">
        <v>44075</v>
      </c>
      <c r="M935">
        <v>30</v>
      </c>
      <c r="N935">
        <v>1</v>
      </c>
      <c r="O935">
        <v>7</v>
      </c>
      <c r="P935">
        <v>4</v>
      </c>
      <c r="Q935" t="s">
        <v>3</v>
      </c>
    </row>
    <row r="936" spans="1:17">
      <c r="A936" t="s">
        <v>1021</v>
      </c>
      <c r="B936" s="674" t="s">
        <v>968</v>
      </c>
      <c r="C936">
        <v>0</v>
      </c>
      <c r="E936" s="672" t="s">
        <v>965</v>
      </c>
      <c r="F936" s="673" t="s">
        <v>963</v>
      </c>
      <c r="G936" s="674" t="s">
        <v>968</v>
      </c>
      <c r="H936">
        <v>7.75</v>
      </c>
      <c r="J936" s="1" t="s">
        <v>770</v>
      </c>
      <c r="K936">
        <v>106968039</v>
      </c>
      <c r="L936" s="2">
        <v>44705</v>
      </c>
      <c r="M936">
        <v>21</v>
      </c>
      <c r="N936">
        <v>1</v>
      </c>
      <c r="O936">
        <v>7</v>
      </c>
      <c r="P936">
        <v>1</v>
      </c>
      <c r="Q936" t="s">
        <v>7</v>
      </c>
    </row>
    <row r="937" spans="1:17">
      <c r="A937" t="s">
        <v>1021</v>
      </c>
      <c r="B937" s="674" t="s">
        <v>968</v>
      </c>
      <c r="C937">
        <v>0</v>
      </c>
      <c r="E937" s="672" t="s">
        <v>965</v>
      </c>
      <c r="F937" s="673" t="s">
        <v>963</v>
      </c>
      <c r="G937" s="674" t="s">
        <v>968</v>
      </c>
      <c r="H937">
        <v>7.75</v>
      </c>
      <c r="J937" s="1" t="s">
        <v>770</v>
      </c>
      <c r="K937">
        <v>106993946</v>
      </c>
      <c r="L937" s="2">
        <v>44733</v>
      </c>
      <c r="M937">
        <v>21</v>
      </c>
      <c r="N937">
        <v>1</v>
      </c>
      <c r="O937">
        <v>7</v>
      </c>
      <c r="P937">
        <v>2</v>
      </c>
      <c r="Q937" t="s">
        <v>8</v>
      </c>
    </row>
    <row r="938" spans="1:17">
      <c r="A938" t="s">
        <v>1021</v>
      </c>
      <c r="B938" s="674" t="s">
        <v>968</v>
      </c>
      <c r="C938">
        <v>0</v>
      </c>
      <c r="E938" s="672" t="s">
        <v>965</v>
      </c>
      <c r="F938" s="673" t="s">
        <v>963</v>
      </c>
      <c r="G938" s="674" t="s">
        <v>968</v>
      </c>
      <c r="H938">
        <v>7.75</v>
      </c>
      <c r="J938" s="1" t="s">
        <v>770</v>
      </c>
      <c r="K938">
        <v>107173202</v>
      </c>
      <c r="L938" s="2">
        <v>44749</v>
      </c>
      <c r="M938">
        <v>21</v>
      </c>
      <c r="N938">
        <v>1</v>
      </c>
      <c r="O938">
        <v>7</v>
      </c>
      <c r="P938">
        <v>1</v>
      </c>
      <c r="Q938" t="s">
        <v>7</v>
      </c>
    </row>
    <row r="939" spans="1:17">
      <c r="A939" t="s">
        <v>1021</v>
      </c>
      <c r="B939" s="674" t="s">
        <v>968</v>
      </c>
      <c r="C939">
        <v>0</v>
      </c>
      <c r="D939" t="s">
        <v>756</v>
      </c>
      <c r="E939" s="672" t="s">
        <v>965</v>
      </c>
      <c r="F939" s="673" t="s">
        <v>963</v>
      </c>
      <c r="G939" s="674" t="s">
        <v>968</v>
      </c>
      <c r="H939">
        <v>7.75</v>
      </c>
      <c r="J939" s="1" t="s">
        <v>770</v>
      </c>
      <c r="K939">
        <v>108436291</v>
      </c>
      <c r="L939" s="2">
        <v>46100</v>
      </c>
      <c r="M939">
        <v>21</v>
      </c>
      <c r="N939">
        <v>1</v>
      </c>
      <c r="O939">
        <v>7</v>
      </c>
      <c r="P939">
        <v>1</v>
      </c>
      <c r="Q939" t="s">
        <v>7</v>
      </c>
    </row>
    <row r="940" spans="1:17">
      <c r="A940" t="s">
        <v>1021</v>
      </c>
      <c r="B940" s="674" t="s">
        <v>968</v>
      </c>
      <c r="C940">
        <v>0</v>
      </c>
      <c r="D940" t="s">
        <v>765</v>
      </c>
      <c r="E940" s="672" t="s">
        <v>965</v>
      </c>
      <c r="F940" s="673" t="s">
        <v>963</v>
      </c>
      <c r="G940" s="674" t="s">
        <v>968</v>
      </c>
      <c r="H940">
        <v>7.75</v>
      </c>
      <c r="J940" s="1" t="s">
        <v>770</v>
      </c>
      <c r="K940">
        <v>108498878</v>
      </c>
      <c r="L940" s="2">
        <v>46158</v>
      </c>
      <c r="M940">
        <v>21</v>
      </c>
      <c r="N940">
        <v>1</v>
      </c>
      <c r="O940">
        <v>7</v>
      </c>
      <c r="P940">
        <v>4</v>
      </c>
      <c r="Q940" t="s">
        <v>7</v>
      </c>
    </row>
    <row r="941" spans="1:17">
      <c r="A941" t="s">
        <v>1021</v>
      </c>
      <c r="B941" s="674" t="s">
        <v>968</v>
      </c>
      <c r="C941">
        <v>0</v>
      </c>
      <c r="E941" s="672" t="s">
        <v>965</v>
      </c>
      <c r="F941" s="673" t="s">
        <v>963</v>
      </c>
      <c r="G941" s="674" t="s">
        <v>968</v>
      </c>
      <c r="H941">
        <v>7.75</v>
      </c>
      <c r="J941" s="1" t="s">
        <v>770</v>
      </c>
      <c r="K941">
        <v>108422786</v>
      </c>
      <c r="L941" s="2">
        <v>46087</v>
      </c>
      <c r="M941">
        <v>24</v>
      </c>
      <c r="N941">
        <v>1</v>
      </c>
      <c r="O941">
        <v>7</v>
      </c>
      <c r="P941">
        <v>1</v>
      </c>
      <c r="Q941" t="s">
        <v>3</v>
      </c>
    </row>
    <row r="942" spans="1:17">
      <c r="A942" t="s">
        <v>1021</v>
      </c>
      <c r="B942" s="674" t="s">
        <v>968</v>
      </c>
      <c r="C942">
        <v>0</v>
      </c>
      <c r="D942" t="s">
        <v>6</v>
      </c>
      <c r="E942" s="672" t="s">
        <v>965</v>
      </c>
      <c r="F942" s="673" t="s">
        <v>963</v>
      </c>
      <c r="G942" s="674" t="s">
        <v>968</v>
      </c>
      <c r="H942">
        <v>7.75</v>
      </c>
      <c r="J942" s="1" t="s">
        <v>770</v>
      </c>
      <c r="K942">
        <v>106802303</v>
      </c>
      <c r="L942" s="2">
        <v>44489</v>
      </c>
      <c r="M942">
        <v>28</v>
      </c>
      <c r="N942">
        <v>1</v>
      </c>
      <c r="O942">
        <v>7</v>
      </c>
      <c r="P942">
        <v>5</v>
      </c>
      <c r="Q942" t="s">
        <v>8</v>
      </c>
    </row>
    <row r="943" spans="1:17">
      <c r="A943" t="s">
        <v>1021</v>
      </c>
      <c r="B943" s="674" t="s">
        <v>968</v>
      </c>
      <c r="C943">
        <v>0</v>
      </c>
      <c r="E943" s="672" t="s">
        <v>965</v>
      </c>
      <c r="F943" s="673" t="s">
        <v>963</v>
      </c>
      <c r="G943" s="674" t="s">
        <v>968</v>
      </c>
      <c r="H943">
        <v>7.75</v>
      </c>
      <c r="J943" s="1" t="s">
        <v>770</v>
      </c>
      <c r="K943">
        <v>107993614</v>
      </c>
      <c r="L943" s="2">
        <v>45674</v>
      </c>
      <c r="M943">
        <v>28</v>
      </c>
      <c r="N943">
        <v>1</v>
      </c>
      <c r="O943">
        <v>7</v>
      </c>
      <c r="P943">
        <v>1</v>
      </c>
      <c r="Q943" t="s">
        <v>7</v>
      </c>
    </row>
    <row r="944" spans="1:17">
      <c r="A944" t="s">
        <v>1021</v>
      </c>
      <c r="B944" s="674" t="s">
        <v>968</v>
      </c>
      <c r="C944">
        <v>0</v>
      </c>
      <c r="E944" s="672" t="s">
        <v>965</v>
      </c>
      <c r="F944" s="673" t="s">
        <v>963</v>
      </c>
      <c r="G944" s="674" t="s">
        <v>968</v>
      </c>
      <c r="H944">
        <v>7.75</v>
      </c>
      <c r="J944" s="1" t="s">
        <v>770</v>
      </c>
      <c r="K944">
        <v>108346595</v>
      </c>
      <c r="L944" s="2">
        <v>46011</v>
      </c>
      <c r="M944">
        <v>28</v>
      </c>
      <c r="N944">
        <v>1</v>
      </c>
      <c r="O944">
        <v>0</v>
      </c>
      <c r="P944">
        <v>1</v>
      </c>
      <c r="Q944" t="s">
        <v>7</v>
      </c>
    </row>
    <row r="945" spans="1:17">
      <c r="A945" t="s">
        <v>1021</v>
      </c>
      <c r="B945" s="674" t="s">
        <v>968</v>
      </c>
      <c r="C945">
        <v>0</v>
      </c>
      <c r="E945" s="672" t="s">
        <v>965</v>
      </c>
      <c r="F945" s="673" t="s">
        <v>963</v>
      </c>
      <c r="G945" s="674" t="s">
        <v>968</v>
      </c>
      <c r="H945">
        <v>7.75</v>
      </c>
      <c r="J945" s="1" t="s">
        <v>770</v>
      </c>
      <c r="K945">
        <v>105741360</v>
      </c>
      <c r="L945" s="2">
        <v>43456</v>
      </c>
      <c r="M945">
        <v>30</v>
      </c>
      <c r="N945">
        <v>1</v>
      </c>
      <c r="O945">
        <v>7</v>
      </c>
      <c r="P945">
        <v>1</v>
      </c>
      <c r="Q945" t="s">
        <v>3</v>
      </c>
    </row>
    <row r="946" spans="1:17">
      <c r="A946" t="s">
        <v>1021</v>
      </c>
      <c r="B946" s="674" t="s">
        <v>968</v>
      </c>
      <c r="C946">
        <v>0</v>
      </c>
      <c r="E946" s="672" t="s">
        <v>965</v>
      </c>
      <c r="F946" s="673" t="s">
        <v>963</v>
      </c>
      <c r="G946" s="674" t="s">
        <v>968</v>
      </c>
      <c r="H946">
        <v>7.75</v>
      </c>
      <c r="J946" s="1" t="s">
        <v>770</v>
      </c>
      <c r="K946">
        <v>106931954</v>
      </c>
      <c r="L946" s="2">
        <v>44676</v>
      </c>
      <c r="M946">
        <v>30</v>
      </c>
      <c r="N946">
        <v>1</v>
      </c>
      <c r="O946">
        <v>7</v>
      </c>
      <c r="P946">
        <v>1</v>
      </c>
      <c r="Q946" t="s">
        <v>7</v>
      </c>
    </row>
    <row r="947" spans="1:17">
      <c r="A947" t="s">
        <v>1021</v>
      </c>
      <c r="B947" s="674" t="s">
        <v>968</v>
      </c>
      <c r="C947">
        <v>0</v>
      </c>
      <c r="E947" s="672" t="s">
        <v>965</v>
      </c>
      <c r="F947" s="673" t="s">
        <v>963</v>
      </c>
      <c r="G947" s="674" t="s">
        <v>968</v>
      </c>
      <c r="H947">
        <v>7.75</v>
      </c>
      <c r="J947" s="1" t="s">
        <v>770</v>
      </c>
      <c r="K947">
        <v>108001600</v>
      </c>
      <c r="L947" s="2">
        <v>45681</v>
      </c>
      <c r="M947">
        <v>31</v>
      </c>
      <c r="N947">
        <v>1</v>
      </c>
      <c r="O947">
        <v>7</v>
      </c>
      <c r="P947">
        <v>4</v>
      </c>
      <c r="Q947" t="s">
        <v>7</v>
      </c>
    </row>
    <row r="948" spans="1:17">
      <c r="A948" t="s">
        <v>1021</v>
      </c>
      <c r="B948" s="674" t="s">
        <v>968</v>
      </c>
      <c r="C948">
        <v>0</v>
      </c>
      <c r="E948" s="672" t="s">
        <v>965</v>
      </c>
      <c r="F948" s="675" t="s">
        <v>1023</v>
      </c>
      <c r="G948" s="674" t="s">
        <v>968</v>
      </c>
      <c r="H948">
        <v>7.75</v>
      </c>
      <c r="J948" s="1" t="s">
        <v>770</v>
      </c>
      <c r="K948">
        <v>107260324</v>
      </c>
      <c r="L948" s="2">
        <v>44988</v>
      </c>
      <c r="M948">
        <v>28</v>
      </c>
      <c r="N948">
        <v>1</v>
      </c>
      <c r="O948">
        <v>7</v>
      </c>
      <c r="P948">
        <v>1</v>
      </c>
      <c r="Q948" t="s">
        <v>7</v>
      </c>
    </row>
    <row r="949" spans="1:17">
      <c r="A949" t="s">
        <v>1021</v>
      </c>
      <c r="B949" s="674" t="s">
        <v>968</v>
      </c>
      <c r="C949">
        <v>0</v>
      </c>
      <c r="E949" s="672" t="s">
        <v>965</v>
      </c>
      <c r="F949" s="673" t="s">
        <v>967</v>
      </c>
      <c r="G949" s="674" t="s">
        <v>968</v>
      </c>
      <c r="H949">
        <v>7.75</v>
      </c>
      <c r="J949" s="1" t="s">
        <v>770</v>
      </c>
      <c r="K949">
        <v>105075625</v>
      </c>
      <c r="L949" s="2">
        <v>42825</v>
      </c>
      <c r="M949">
        <v>30</v>
      </c>
      <c r="N949">
        <v>1</v>
      </c>
      <c r="O949">
        <v>7</v>
      </c>
      <c r="P949">
        <v>4</v>
      </c>
      <c r="Q949" t="s">
        <v>3</v>
      </c>
    </row>
    <row r="950" spans="1:17">
      <c r="A950" t="s">
        <v>1021</v>
      </c>
      <c r="B950" s="674" t="s">
        <v>968</v>
      </c>
      <c r="C950">
        <v>0</v>
      </c>
      <c r="E950" s="672" t="s">
        <v>965</v>
      </c>
      <c r="F950" t="s">
        <v>1050</v>
      </c>
      <c r="G950" s="674" t="s">
        <v>968</v>
      </c>
      <c r="H950">
        <v>7.75</v>
      </c>
      <c r="J950" s="1" t="s">
        <v>770</v>
      </c>
      <c r="K950">
        <v>106802152</v>
      </c>
      <c r="L950" s="2">
        <v>44399</v>
      </c>
      <c r="M950">
        <v>21</v>
      </c>
      <c r="N950">
        <v>1</v>
      </c>
      <c r="O950">
        <v>7</v>
      </c>
      <c r="P950">
        <v>1</v>
      </c>
      <c r="Q950" t="s">
        <v>7</v>
      </c>
    </row>
    <row r="951" spans="1:17">
      <c r="A951" t="s">
        <v>1021</v>
      </c>
      <c r="B951" s="674" t="s">
        <v>968</v>
      </c>
      <c r="C951">
        <v>0</v>
      </c>
      <c r="E951" s="672" t="s">
        <v>965</v>
      </c>
      <c r="F951" s="672" t="s">
        <v>965</v>
      </c>
      <c r="G951" s="674" t="s">
        <v>968</v>
      </c>
      <c r="H951">
        <v>7.75</v>
      </c>
      <c r="J951" s="1" t="s">
        <v>770</v>
      </c>
      <c r="K951">
        <v>108586883</v>
      </c>
      <c r="L951" s="2">
        <v>46244</v>
      </c>
      <c r="M951">
        <v>21</v>
      </c>
      <c r="N951">
        <v>1</v>
      </c>
      <c r="O951">
        <v>7</v>
      </c>
      <c r="P951">
        <v>1</v>
      </c>
      <c r="Q951" t="s">
        <v>7</v>
      </c>
    </row>
    <row r="952" spans="1:17">
      <c r="A952" t="s">
        <v>1021</v>
      </c>
      <c r="B952" s="674" t="s">
        <v>968</v>
      </c>
      <c r="C952">
        <v>0</v>
      </c>
      <c r="E952" s="672" t="s">
        <v>965</v>
      </c>
      <c r="F952" t="s">
        <v>969</v>
      </c>
      <c r="G952" s="674" t="s">
        <v>968</v>
      </c>
      <c r="H952">
        <v>7.75</v>
      </c>
      <c r="J952" s="1" t="s">
        <v>770</v>
      </c>
      <c r="K952">
        <v>106080404</v>
      </c>
      <c r="L952" s="2">
        <v>43799</v>
      </c>
      <c r="M952">
        <v>28</v>
      </c>
      <c r="N952">
        <v>1</v>
      </c>
      <c r="O952">
        <v>0</v>
      </c>
      <c r="P952">
        <v>1</v>
      </c>
      <c r="Q952" t="s">
        <v>7</v>
      </c>
    </row>
    <row r="953" spans="1:17">
      <c r="A953" t="s">
        <v>1021</v>
      </c>
      <c r="B953" s="674" t="s">
        <v>968</v>
      </c>
      <c r="C953">
        <v>0</v>
      </c>
      <c r="E953" s="672" t="s">
        <v>965</v>
      </c>
      <c r="F953" s="672" t="s">
        <v>1037</v>
      </c>
      <c r="G953" s="674" t="s">
        <v>968</v>
      </c>
      <c r="H953">
        <v>7.75</v>
      </c>
      <c r="J953" s="1" t="s">
        <v>770</v>
      </c>
      <c r="K953">
        <v>105864326</v>
      </c>
      <c r="L953" s="2">
        <v>43580</v>
      </c>
      <c r="M953">
        <v>21</v>
      </c>
      <c r="N953">
        <v>1</v>
      </c>
      <c r="O953">
        <v>7</v>
      </c>
      <c r="P953">
        <v>1</v>
      </c>
      <c r="Q953" t="s">
        <v>3</v>
      </c>
    </row>
    <row r="954" spans="1:17">
      <c r="A954" t="s">
        <v>1021</v>
      </c>
      <c r="B954" s="674" t="s">
        <v>968</v>
      </c>
      <c r="C954">
        <v>0</v>
      </c>
      <c r="E954" s="672" t="s">
        <v>965</v>
      </c>
      <c r="F954" s="672" t="s">
        <v>1037</v>
      </c>
      <c r="G954" s="674" t="s">
        <v>968</v>
      </c>
      <c r="H954">
        <v>7.75</v>
      </c>
      <c r="J954" s="1" t="s">
        <v>770</v>
      </c>
      <c r="K954">
        <v>106502178</v>
      </c>
      <c r="L954" s="2">
        <v>44209</v>
      </c>
      <c r="M954">
        <v>21</v>
      </c>
      <c r="N954">
        <v>1</v>
      </c>
      <c r="O954">
        <v>7</v>
      </c>
      <c r="P954">
        <v>1</v>
      </c>
      <c r="Q954" t="s">
        <v>7</v>
      </c>
    </row>
    <row r="955" spans="1:17">
      <c r="A955" t="s">
        <v>1021</v>
      </c>
      <c r="B955" s="674" t="s">
        <v>968</v>
      </c>
      <c r="C955">
        <v>0</v>
      </c>
      <c r="E955" s="672" t="s">
        <v>965</v>
      </c>
      <c r="F955" s="672" t="s">
        <v>1037</v>
      </c>
      <c r="G955" s="674" t="s">
        <v>968</v>
      </c>
      <c r="H955">
        <v>7.75</v>
      </c>
      <c r="J955" s="1" t="s">
        <v>770</v>
      </c>
      <c r="K955">
        <v>107011467</v>
      </c>
      <c r="L955" s="2">
        <v>44752</v>
      </c>
      <c r="M955">
        <v>21</v>
      </c>
      <c r="N955">
        <v>2</v>
      </c>
      <c r="O955">
        <v>7</v>
      </c>
      <c r="P955">
        <v>1</v>
      </c>
      <c r="Q955" t="s">
        <v>7</v>
      </c>
    </row>
    <row r="956" spans="1:17">
      <c r="A956" t="s">
        <v>1021</v>
      </c>
      <c r="B956" s="674" t="s">
        <v>968</v>
      </c>
      <c r="C956">
        <v>0</v>
      </c>
      <c r="D956" t="s">
        <v>762</v>
      </c>
      <c r="E956" s="672" t="s">
        <v>965</v>
      </c>
      <c r="F956" s="672" t="s">
        <v>1037</v>
      </c>
      <c r="G956" s="674" t="s">
        <v>968</v>
      </c>
      <c r="H956">
        <v>7.75</v>
      </c>
      <c r="J956" s="1" t="s">
        <v>770</v>
      </c>
      <c r="K956">
        <v>107745020</v>
      </c>
      <c r="L956" s="2">
        <v>45450</v>
      </c>
      <c r="M956">
        <v>28</v>
      </c>
      <c r="N956">
        <v>1</v>
      </c>
      <c r="O956">
        <v>0</v>
      </c>
      <c r="P956">
        <v>1</v>
      </c>
      <c r="Q956" t="s">
        <v>7</v>
      </c>
    </row>
    <row r="957" spans="1:17">
      <c r="A957" t="s">
        <v>1021</v>
      </c>
      <c r="B957" s="674" t="s">
        <v>968</v>
      </c>
      <c r="C957">
        <v>0</v>
      </c>
      <c r="E957" s="672" t="s">
        <v>965</v>
      </c>
      <c r="F957" s="672" t="s">
        <v>1037</v>
      </c>
      <c r="G957" s="674" t="s">
        <v>968</v>
      </c>
      <c r="H957">
        <v>7.75</v>
      </c>
      <c r="J957" s="1" t="s">
        <v>770</v>
      </c>
      <c r="K957">
        <v>105630128</v>
      </c>
      <c r="L957" s="2">
        <v>43361</v>
      </c>
      <c r="M957">
        <v>30</v>
      </c>
      <c r="N957">
        <v>1</v>
      </c>
      <c r="O957">
        <v>7</v>
      </c>
      <c r="P957">
        <v>2</v>
      </c>
      <c r="Q957" t="s">
        <v>7</v>
      </c>
    </row>
    <row r="958" spans="1:17">
      <c r="A958" t="s">
        <v>1021</v>
      </c>
      <c r="B958" s="674" t="s">
        <v>968</v>
      </c>
      <c r="C958">
        <v>0</v>
      </c>
      <c r="D958" t="s">
        <v>756</v>
      </c>
      <c r="E958" s="672" t="s">
        <v>965</v>
      </c>
      <c r="F958" s="672" t="s">
        <v>1037</v>
      </c>
      <c r="G958" s="674" t="s">
        <v>968</v>
      </c>
      <c r="H958">
        <v>7.75</v>
      </c>
      <c r="J958" s="1" t="s">
        <v>770</v>
      </c>
      <c r="K958">
        <v>108435154</v>
      </c>
      <c r="L958" s="2">
        <v>46096</v>
      </c>
      <c r="M958">
        <v>30</v>
      </c>
      <c r="N958">
        <v>1</v>
      </c>
      <c r="O958">
        <v>7</v>
      </c>
      <c r="P958">
        <v>1</v>
      </c>
      <c r="Q958" t="s">
        <v>3</v>
      </c>
    </row>
    <row r="959" spans="1:17">
      <c r="A959" t="s">
        <v>1021</v>
      </c>
      <c r="B959" s="674" t="s">
        <v>968</v>
      </c>
      <c r="C959">
        <v>0</v>
      </c>
      <c r="E959" s="672" t="s">
        <v>965</v>
      </c>
      <c r="F959" s="674" t="s">
        <v>977</v>
      </c>
      <c r="G959" s="674" t="s">
        <v>968</v>
      </c>
      <c r="H959">
        <v>7.75</v>
      </c>
      <c r="J959" s="1" t="s">
        <v>770</v>
      </c>
      <c r="K959">
        <v>107686114</v>
      </c>
      <c r="L959" s="2">
        <v>45396</v>
      </c>
      <c r="M959">
        <v>30</v>
      </c>
      <c r="N959">
        <v>1</v>
      </c>
      <c r="O959">
        <v>7</v>
      </c>
      <c r="P959">
        <v>1</v>
      </c>
      <c r="Q959" t="s">
        <v>7</v>
      </c>
    </row>
    <row r="960" spans="1:17">
      <c r="A960" t="s">
        <v>1021</v>
      </c>
      <c r="B960" s="674" t="s">
        <v>968</v>
      </c>
      <c r="C960">
        <v>0</v>
      </c>
      <c r="E960" s="672" t="s">
        <v>965</v>
      </c>
      <c r="F960" s="675" t="s">
        <v>964</v>
      </c>
      <c r="G960" s="674" t="s">
        <v>968</v>
      </c>
      <c r="H960">
        <v>7.75</v>
      </c>
      <c r="J960" s="1" t="s">
        <v>770</v>
      </c>
      <c r="K960">
        <v>105823332</v>
      </c>
      <c r="L960" s="2">
        <v>43545</v>
      </c>
      <c r="M960">
        <v>21</v>
      </c>
      <c r="N960">
        <v>1</v>
      </c>
      <c r="O960">
        <v>7</v>
      </c>
      <c r="P960">
        <v>1</v>
      </c>
      <c r="Q960" t="s">
        <v>3</v>
      </c>
    </row>
    <row r="961" spans="1:17">
      <c r="A961" t="s">
        <v>1021</v>
      </c>
      <c r="B961" s="674" t="s">
        <v>968</v>
      </c>
      <c r="C961">
        <v>0</v>
      </c>
      <c r="E961" s="672" t="s">
        <v>965</v>
      </c>
      <c r="F961" s="675" t="s">
        <v>964</v>
      </c>
      <c r="G961" s="674" t="s">
        <v>968</v>
      </c>
      <c r="H961">
        <v>7.75</v>
      </c>
      <c r="J961" s="1" t="s">
        <v>770</v>
      </c>
      <c r="K961">
        <v>106802204</v>
      </c>
      <c r="L961" s="2">
        <v>44430</v>
      </c>
      <c r="M961">
        <v>21</v>
      </c>
      <c r="N961">
        <v>1</v>
      </c>
      <c r="O961">
        <v>7</v>
      </c>
      <c r="P961">
        <v>1</v>
      </c>
      <c r="Q961" t="s">
        <v>7</v>
      </c>
    </row>
    <row r="962" spans="1:17">
      <c r="A962" t="s">
        <v>1021</v>
      </c>
      <c r="B962" s="674" t="s">
        <v>968</v>
      </c>
      <c r="C962">
        <v>0</v>
      </c>
      <c r="E962" s="672" t="s">
        <v>965</v>
      </c>
      <c r="F962" s="675" t="s">
        <v>964</v>
      </c>
      <c r="G962" s="674" t="s">
        <v>968</v>
      </c>
      <c r="H962">
        <v>7.75</v>
      </c>
      <c r="J962" s="1" t="s">
        <v>770</v>
      </c>
      <c r="K962">
        <v>107173243</v>
      </c>
      <c r="L962" s="2">
        <v>44899</v>
      </c>
      <c r="M962">
        <v>24</v>
      </c>
      <c r="N962">
        <v>1</v>
      </c>
      <c r="O962">
        <v>7</v>
      </c>
      <c r="P962">
        <v>1</v>
      </c>
      <c r="Q962" t="s">
        <v>7</v>
      </c>
    </row>
    <row r="963" spans="1:17">
      <c r="A963" t="s">
        <v>1021</v>
      </c>
      <c r="B963" s="674" t="s">
        <v>968</v>
      </c>
      <c r="C963">
        <v>0</v>
      </c>
      <c r="E963" s="672" t="s">
        <v>965</v>
      </c>
      <c r="F963" s="675" t="s">
        <v>964</v>
      </c>
      <c r="G963" s="674" t="s">
        <v>968</v>
      </c>
      <c r="H963">
        <v>7.75</v>
      </c>
      <c r="J963" s="1" t="s">
        <v>770</v>
      </c>
      <c r="K963">
        <v>107719789</v>
      </c>
      <c r="L963" s="2">
        <v>45427</v>
      </c>
      <c r="M963">
        <v>26</v>
      </c>
      <c r="N963">
        <v>2</v>
      </c>
      <c r="O963">
        <v>7</v>
      </c>
      <c r="P963">
        <v>1</v>
      </c>
      <c r="Q963" t="s">
        <v>7</v>
      </c>
    </row>
    <row r="964" spans="1:17">
      <c r="A964" t="s">
        <v>1021</v>
      </c>
      <c r="B964" s="674" t="s">
        <v>968</v>
      </c>
      <c r="C964">
        <v>0</v>
      </c>
      <c r="D964" t="s">
        <v>757</v>
      </c>
      <c r="E964" s="672" t="s">
        <v>965</v>
      </c>
      <c r="F964" s="675" t="s">
        <v>964</v>
      </c>
      <c r="G964" s="674" t="s">
        <v>968</v>
      </c>
      <c r="H964">
        <v>7.75</v>
      </c>
      <c r="J964" s="1" t="s">
        <v>770</v>
      </c>
      <c r="K964">
        <v>107577516</v>
      </c>
      <c r="L964" s="2">
        <v>45287</v>
      </c>
      <c r="M964">
        <v>28</v>
      </c>
      <c r="N964">
        <v>2</v>
      </c>
      <c r="O964">
        <v>4</v>
      </c>
      <c r="P964">
        <v>1</v>
      </c>
      <c r="Q964" t="s">
        <v>7</v>
      </c>
    </row>
    <row r="965" spans="1:17">
      <c r="A965" t="s">
        <v>1021</v>
      </c>
      <c r="B965" s="674" t="s">
        <v>968</v>
      </c>
      <c r="C965">
        <v>0</v>
      </c>
      <c r="D965" t="s">
        <v>757</v>
      </c>
      <c r="E965" s="672" t="s">
        <v>965</v>
      </c>
      <c r="F965" s="675" t="s">
        <v>964</v>
      </c>
      <c r="G965" s="674" t="s">
        <v>968</v>
      </c>
      <c r="H965">
        <v>7.75</v>
      </c>
      <c r="J965" s="1" t="s">
        <v>770</v>
      </c>
      <c r="K965">
        <v>108194616</v>
      </c>
      <c r="L965" s="2">
        <v>45874</v>
      </c>
      <c r="M965">
        <v>28</v>
      </c>
      <c r="N965">
        <v>2</v>
      </c>
      <c r="O965">
        <v>0</v>
      </c>
      <c r="P965">
        <v>4</v>
      </c>
      <c r="Q965" t="s">
        <v>7</v>
      </c>
    </row>
    <row r="966" spans="1:17">
      <c r="A966" t="s">
        <v>1021</v>
      </c>
      <c r="B966" s="674" t="s">
        <v>968</v>
      </c>
      <c r="C966">
        <v>0</v>
      </c>
      <c r="E966" s="672" t="s">
        <v>965</v>
      </c>
      <c r="F966" s="675" t="s">
        <v>964</v>
      </c>
      <c r="G966" s="674" t="s">
        <v>968</v>
      </c>
      <c r="H966">
        <v>7.75</v>
      </c>
      <c r="J966" s="1" t="s">
        <v>770</v>
      </c>
      <c r="K966">
        <v>107365183</v>
      </c>
      <c r="L966" s="2">
        <v>45074</v>
      </c>
      <c r="M966">
        <v>30</v>
      </c>
      <c r="N966">
        <v>2</v>
      </c>
      <c r="O966">
        <v>7</v>
      </c>
      <c r="P966">
        <v>1</v>
      </c>
      <c r="Q966" t="s">
        <v>8</v>
      </c>
    </row>
    <row r="967" spans="1:17">
      <c r="A967" t="s">
        <v>1021</v>
      </c>
      <c r="B967" s="674" t="s">
        <v>968</v>
      </c>
      <c r="C967">
        <v>0</v>
      </c>
      <c r="E967" s="672" t="s">
        <v>965</v>
      </c>
      <c r="G967" s="674" t="s">
        <v>968</v>
      </c>
      <c r="H967">
        <v>7.75</v>
      </c>
      <c r="J967" s="1" t="s">
        <v>770</v>
      </c>
      <c r="K967">
        <v>106802411</v>
      </c>
      <c r="L967" s="2">
        <v>44525</v>
      </c>
      <c r="M967">
        <v>21</v>
      </c>
      <c r="N967">
        <v>1</v>
      </c>
      <c r="O967">
        <v>0</v>
      </c>
      <c r="P967">
        <v>4</v>
      </c>
      <c r="Q967" t="s">
        <v>7</v>
      </c>
    </row>
    <row r="968" spans="1:17">
      <c r="A968" t="s">
        <v>1021</v>
      </c>
      <c r="B968" s="674" t="s">
        <v>968</v>
      </c>
      <c r="C968">
        <v>0</v>
      </c>
      <c r="E968" s="672" t="s">
        <v>965</v>
      </c>
      <c r="G968" s="674" t="s">
        <v>968</v>
      </c>
      <c r="H968">
        <v>7.75</v>
      </c>
      <c r="J968" s="1" t="s">
        <v>770</v>
      </c>
      <c r="K968">
        <v>107364211</v>
      </c>
      <c r="L968" s="2">
        <v>44971</v>
      </c>
      <c r="M968">
        <v>21</v>
      </c>
      <c r="N968">
        <v>1</v>
      </c>
      <c r="O968">
        <v>0</v>
      </c>
      <c r="P968">
        <v>1</v>
      </c>
      <c r="Q968" t="s">
        <v>7</v>
      </c>
    </row>
    <row r="969" spans="1:17">
      <c r="A969" t="s">
        <v>1021</v>
      </c>
      <c r="B969" s="674" t="s">
        <v>968</v>
      </c>
      <c r="C969">
        <v>0</v>
      </c>
      <c r="E969" s="672" t="s">
        <v>965</v>
      </c>
      <c r="G969" s="674" t="s">
        <v>968</v>
      </c>
      <c r="H969">
        <v>7.75</v>
      </c>
      <c r="J969" s="1" t="s">
        <v>770</v>
      </c>
      <c r="K969">
        <v>107438779</v>
      </c>
      <c r="L969" s="2">
        <v>45166</v>
      </c>
      <c r="M969">
        <v>21</v>
      </c>
      <c r="N969">
        <v>2</v>
      </c>
      <c r="O969">
        <v>0</v>
      </c>
      <c r="P969">
        <v>4</v>
      </c>
      <c r="Q969" t="s">
        <v>7</v>
      </c>
    </row>
    <row r="970" spans="1:17">
      <c r="A970" t="s">
        <v>1021</v>
      </c>
      <c r="B970" s="674" t="s">
        <v>968</v>
      </c>
      <c r="C970">
        <v>0</v>
      </c>
      <c r="E970" s="672" t="s">
        <v>965</v>
      </c>
      <c r="G970" s="674" t="s">
        <v>968</v>
      </c>
      <c r="H970">
        <v>7.75</v>
      </c>
      <c r="J970" s="1" t="s">
        <v>770</v>
      </c>
      <c r="K970">
        <v>108185742</v>
      </c>
      <c r="L970" s="2">
        <v>45867</v>
      </c>
      <c r="M970">
        <v>21</v>
      </c>
      <c r="N970">
        <v>1</v>
      </c>
      <c r="O970">
        <v>7</v>
      </c>
      <c r="P970">
        <v>1</v>
      </c>
      <c r="Q970" t="s">
        <v>3</v>
      </c>
    </row>
    <row r="971" spans="1:17">
      <c r="A971" t="s">
        <v>1021</v>
      </c>
      <c r="B971" s="674" t="s">
        <v>968</v>
      </c>
      <c r="C971">
        <v>0</v>
      </c>
      <c r="E971" s="672" t="s">
        <v>965</v>
      </c>
      <c r="G971" s="674" t="s">
        <v>968</v>
      </c>
      <c r="H971">
        <v>7.75</v>
      </c>
      <c r="J971" s="1" t="s">
        <v>770</v>
      </c>
      <c r="K971">
        <v>108589989</v>
      </c>
      <c r="L971" s="2">
        <v>46248</v>
      </c>
      <c r="M971">
        <v>21</v>
      </c>
      <c r="N971">
        <v>1</v>
      </c>
      <c r="O971">
        <v>7</v>
      </c>
      <c r="P971">
        <v>1</v>
      </c>
      <c r="Q971" t="s">
        <v>7</v>
      </c>
    </row>
    <row r="972" spans="1:17">
      <c r="A972" t="s">
        <v>1021</v>
      </c>
      <c r="B972" s="674" t="s">
        <v>968</v>
      </c>
      <c r="C972">
        <v>0</v>
      </c>
      <c r="E972" s="672" t="s">
        <v>965</v>
      </c>
      <c r="G972" s="674" t="s">
        <v>968</v>
      </c>
      <c r="H972">
        <v>7.75</v>
      </c>
      <c r="J972" s="1" t="s">
        <v>770</v>
      </c>
      <c r="K972">
        <v>107678020</v>
      </c>
      <c r="L972" s="2">
        <v>45387</v>
      </c>
      <c r="M972">
        <v>28</v>
      </c>
      <c r="N972">
        <v>1</v>
      </c>
      <c r="O972">
        <v>7</v>
      </c>
      <c r="P972">
        <v>5</v>
      </c>
      <c r="Q972" t="s">
        <v>7</v>
      </c>
    </row>
    <row r="973" spans="1:17">
      <c r="A973" t="s">
        <v>1021</v>
      </c>
      <c r="B973" s="674" t="s">
        <v>968</v>
      </c>
      <c r="C973">
        <v>0</v>
      </c>
      <c r="E973" s="672" t="s">
        <v>965</v>
      </c>
      <c r="G973" s="674" t="s">
        <v>968</v>
      </c>
      <c r="H973">
        <v>7.75</v>
      </c>
      <c r="J973" s="1" t="s">
        <v>770</v>
      </c>
      <c r="K973">
        <v>107173244</v>
      </c>
      <c r="L973" s="2">
        <v>44898</v>
      </c>
      <c r="M973">
        <v>30</v>
      </c>
      <c r="N973">
        <v>1</v>
      </c>
      <c r="O973">
        <v>7</v>
      </c>
      <c r="P973">
        <v>5</v>
      </c>
      <c r="Q973" t="s">
        <v>3</v>
      </c>
    </row>
    <row r="974" spans="1:17">
      <c r="A974" t="s">
        <v>1021</v>
      </c>
      <c r="B974" s="674" t="s">
        <v>968</v>
      </c>
      <c r="C974">
        <v>0</v>
      </c>
      <c r="E974" s="672" t="s">
        <v>965</v>
      </c>
      <c r="G974" s="674" t="s">
        <v>968</v>
      </c>
      <c r="H974">
        <v>7.75</v>
      </c>
      <c r="J974" s="1" t="s">
        <v>770</v>
      </c>
      <c r="K974">
        <v>107764253</v>
      </c>
      <c r="L974" s="2">
        <v>45469</v>
      </c>
      <c r="M974">
        <v>30</v>
      </c>
      <c r="N974">
        <v>1</v>
      </c>
      <c r="O974">
        <v>7</v>
      </c>
      <c r="P974">
        <v>1</v>
      </c>
      <c r="Q974" t="s">
        <v>7</v>
      </c>
    </row>
    <row r="975" spans="1:17">
      <c r="A975" t="s">
        <v>1021</v>
      </c>
      <c r="B975" s="674" t="s">
        <v>968</v>
      </c>
      <c r="C975">
        <v>0</v>
      </c>
      <c r="E975" s="672" t="s">
        <v>962</v>
      </c>
      <c r="F975" s="673" t="s">
        <v>963</v>
      </c>
      <c r="G975" s="674" t="s">
        <v>968</v>
      </c>
      <c r="H975">
        <v>7.75</v>
      </c>
      <c r="J975" s="1" t="s">
        <v>770</v>
      </c>
      <c r="K975">
        <v>106851959</v>
      </c>
      <c r="L975" s="2">
        <v>44595</v>
      </c>
      <c r="M975">
        <v>25</v>
      </c>
      <c r="N975">
        <v>1</v>
      </c>
      <c r="O975">
        <v>7</v>
      </c>
      <c r="P975">
        <v>1</v>
      </c>
      <c r="Q975" t="s">
        <v>7</v>
      </c>
    </row>
    <row r="976" spans="1:17">
      <c r="A976" t="s">
        <v>1021</v>
      </c>
      <c r="B976" s="674" t="s">
        <v>968</v>
      </c>
      <c r="C976">
        <v>0</v>
      </c>
      <c r="E976" s="672" t="s">
        <v>962</v>
      </c>
      <c r="F976" t="s">
        <v>969</v>
      </c>
      <c r="G976" s="674" t="s">
        <v>968</v>
      </c>
      <c r="H976">
        <v>7.75</v>
      </c>
      <c r="J976" s="1" t="s">
        <v>770</v>
      </c>
      <c r="K976">
        <v>105536837</v>
      </c>
      <c r="L976" s="2">
        <v>43288</v>
      </c>
      <c r="M976">
        <v>21</v>
      </c>
      <c r="N976">
        <v>2</v>
      </c>
      <c r="O976">
        <v>0</v>
      </c>
      <c r="P976">
        <v>1</v>
      </c>
      <c r="Q976" t="s">
        <v>3</v>
      </c>
    </row>
    <row r="977" spans="1:22">
      <c r="A977" t="s">
        <v>1021</v>
      </c>
      <c r="B977" s="674" t="s">
        <v>968</v>
      </c>
      <c r="C977">
        <v>0</v>
      </c>
      <c r="E977" s="672" t="s">
        <v>962</v>
      </c>
      <c r="F977" t="s">
        <v>969</v>
      </c>
      <c r="G977" s="674" t="s">
        <v>968</v>
      </c>
      <c r="H977">
        <v>7.75</v>
      </c>
      <c r="J977" s="1" t="s">
        <v>770</v>
      </c>
      <c r="K977">
        <v>105553961</v>
      </c>
      <c r="L977" s="2">
        <v>43305</v>
      </c>
      <c r="M977">
        <v>21</v>
      </c>
      <c r="N977">
        <v>2</v>
      </c>
      <c r="O977">
        <v>0</v>
      </c>
      <c r="P977">
        <v>1</v>
      </c>
      <c r="Q977" t="s">
        <v>7</v>
      </c>
    </row>
    <row r="978" spans="1:22">
      <c r="A978" t="s">
        <v>754</v>
      </c>
      <c r="B978" s="674" t="s">
        <v>968</v>
      </c>
      <c r="C978">
        <v>0</v>
      </c>
      <c r="E978" s="672" t="s">
        <v>962</v>
      </c>
      <c r="F978" t="s">
        <v>969</v>
      </c>
      <c r="G978" s="674" t="s">
        <v>968</v>
      </c>
      <c r="H978">
        <v>7.75</v>
      </c>
      <c r="J978" s="1" t="s">
        <v>770</v>
      </c>
      <c r="K978">
        <v>107453105</v>
      </c>
      <c r="L978" s="2">
        <v>45176</v>
      </c>
      <c r="M978">
        <v>21</v>
      </c>
      <c r="N978">
        <v>1</v>
      </c>
      <c r="O978">
        <v>7</v>
      </c>
      <c r="P978">
        <v>1</v>
      </c>
      <c r="Q978" t="s">
        <v>3</v>
      </c>
    </row>
    <row r="979" spans="1:22">
      <c r="A979" t="s">
        <v>1021</v>
      </c>
      <c r="B979" s="674" t="s">
        <v>968</v>
      </c>
      <c r="C979">
        <v>0</v>
      </c>
      <c r="E979" s="672" t="s">
        <v>962</v>
      </c>
      <c r="F979" t="s">
        <v>969</v>
      </c>
      <c r="G979" s="674" t="s">
        <v>968</v>
      </c>
      <c r="H979">
        <v>7.75</v>
      </c>
      <c r="J979" s="1" t="s">
        <v>770</v>
      </c>
      <c r="K979">
        <v>108549390</v>
      </c>
      <c r="L979" s="2">
        <v>46202</v>
      </c>
      <c r="M979">
        <v>23</v>
      </c>
      <c r="N979">
        <v>1</v>
      </c>
      <c r="O979">
        <v>7</v>
      </c>
      <c r="P979">
        <v>1</v>
      </c>
      <c r="Q979" t="s">
        <v>7</v>
      </c>
      <c r="R979">
        <v>35.176679999999998</v>
      </c>
      <c r="S979">
        <v>-79.43083</v>
      </c>
      <c r="T979" t="s">
        <v>755</v>
      </c>
      <c r="U979" t="s">
        <v>367</v>
      </c>
      <c r="V979">
        <v>0.19289999999999999</v>
      </c>
    </row>
    <row r="980" spans="1:22">
      <c r="A980" t="s">
        <v>754</v>
      </c>
      <c r="B980" s="674" t="s">
        <v>968</v>
      </c>
      <c r="C980">
        <v>0</v>
      </c>
      <c r="E980" s="672" t="s">
        <v>962</v>
      </c>
      <c r="F980" t="s">
        <v>969</v>
      </c>
      <c r="G980" s="674" t="s">
        <v>968</v>
      </c>
      <c r="H980">
        <v>7.75</v>
      </c>
      <c r="J980" s="1" t="s">
        <v>770</v>
      </c>
      <c r="K980">
        <v>107491626</v>
      </c>
      <c r="L980" s="2">
        <v>45209</v>
      </c>
      <c r="M980">
        <v>30</v>
      </c>
      <c r="N980">
        <v>1</v>
      </c>
      <c r="O980">
        <v>7</v>
      </c>
      <c r="P980">
        <v>4</v>
      </c>
      <c r="Q980" t="s">
        <v>8</v>
      </c>
      <c r="R980">
        <v>35.170140000000004</v>
      </c>
      <c r="S980">
        <v>-79.405959999999993</v>
      </c>
      <c r="T980" t="s">
        <v>761</v>
      </c>
      <c r="U980" t="s">
        <v>367</v>
      </c>
      <c r="V980">
        <v>1.3612</v>
      </c>
    </row>
    <row r="981" spans="1:22">
      <c r="A981" t="s">
        <v>1021</v>
      </c>
      <c r="B981" s="674" t="s">
        <v>968</v>
      </c>
      <c r="C981">
        <v>0</v>
      </c>
      <c r="E981" s="672" t="s">
        <v>962</v>
      </c>
      <c r="F981" t="s">
        <v>1002</v>
      </c>
      <c r="G981" s="674" t="s">
        <v>968</v>
      </c>
      <c r="H981">
        <v>7.75</v>
      </c>
      <c r="J981" s="1" t="s">
        <v>770</v>
      </c>
      <c r="K981">
        <v>106004818</v>
      </c>
      <c r="L981" s="2">
        <v>43727</v>
      </c>
      <c r="M981">
        <v>21</v>
      </c>
      <c r="N981">
        <v>1</v>
      </c>
      <c r="O981">
        <v>0</v>
      </c>
      <c r="P981">
        <v>1</v>
      </c>
      <c r="Q981" t="s">
        <v>7</v>
      </c>
    </row>
    <row r="982" spans="1:22">
      <c r="A982" t="s">
        <v>754</v>
      </c>
      <c r="B982" s="674" t="s">
        <v>968</v>
      </c>
      <c r="C982">
        <v>0</v>
      </c>
      <c r="E982" s="672" t="s">
        <v>962</v>
      </c>
      <c r="F982" t="s">
        <v>1002</v>
      </c>
      <c r="G982" s="674" t="s">
        <v>968</v>
      </c>
      <c r="H982">
        <v>7.75</v>
      </c>
      <c r="J982" s="1" t="s">
        <v>770</v>
      </c>
      <c r="K982">
        <v>106783591</v>
      </c>
      <c r="L982" s="2">
        <v>44526</v>
      </c>
      <c r="M982">
        <v>21</v>
      </c>
      <c r="N982">
        <v>2</v>
      </c>
      <c r="O982">
        <v>7</v>
      </c>
      <c r="P982">
        <v>1</v>
      </c>
      <c r="Q982" t="s">
        <v>3</v>
      </c>
    </row>
    <row r="983" spans="1:22">
      <c r="A983" t="s">
        <v>754</v>
      </c>
      <c r="B983" s="674" t="s">
        <v>968</v>
      </c>
      <c r="C983">
        <v>0</v>
      </c>
      <c r="E983" s="672" t="s">
        <v>962</v>
      </c>
      <c r="F983" s="673" t="s">
        <v>960</v>
      </c>
      <c r="G983" s="674" t="s">
        <v>968</v>
      </c>
      <c r="H983">
        <v>7.75</v>
      </c>
      <c r="J983" s="1" t="s">
        <v>770</v>
      </c>
      <c r="K983">
        <v>107579695</v>
      </c>
      <c r="L983" s="2">
        <v>45289</v>
      </c>
      <c r="M983">
        <v>23</v>
      </c>
      <c r="N983">
        <v>1</v>
      </c>
      <c r="O983">
        <v>7</v>
      </c>
      <c r="P983">
        <v>5</v>
      </c>
      <c r="Q983" t="s">
        <v>7</v>
      </c>
      <c r="R983">
        <v>35.177379999999999</v>
      </c>
      <c r="S983">
        <v>-79.431399999999996</v>
      </c>
      <c r="T983" t="s">
        <v>761</v>
      </c>
      <c r="U983" t="s">
        <v>367</v>
      </c>
      <c r="V983">
        <v>0.20230000000000001</v>
      </c>
    </row>
    <row r="984" spans="1:22">
      <c r="A984" t="s">
        <v>1021</v>
      </c>
      <c r="B984" s="674" t="s">
        <v>968</v>
      </c>
      <c r="C984">
        <v>0</v>
      </c>
      <c r="E984" s="672" t="s">
        <v>962</v>
      </c>
      <c r="F984" t="s">
        <v>1024</v>
      </c>
      <c r="G984" s="674" t="s">
        <v>968</v>
      </c>
      <c r="H984">
        <v>7.75</v>
      </c>
      <c r="J984" s="1" t="s">
        <v>770</v>
      </c>
      <c r="K984">
        <v>107257245</v>
      </c>
      <c r="L984" s="2">
        <v>44985</v>
      </c>
      <c r="M984">
        <v>24</v>
      </c>
      <c r="N984">
        <v>1</v>
      </c>
      <c r="O984">
        <v>7</v>
      </c>
      <c r="P984">
        <v>1</v>
      </c>
      <c r="Q984" t="s">
        <v>7</v>
      </c>
    </row>
    <row r="985" spans="1:22">
      <c r="A985" t="s">
        <v>754</v>
      </c>
      <c r="B985" s="674" t="s">
        <v>968</v>
      </c>
      <c r="C985">
        <v>0</v>
      </c>
      <c r="E985" s="672" t="s">
        <v>962</v>
      </c>
      <c r="F985" s="675" t="s">
        <v>979</v>
      </c>
      <c r="G985" s="674" t="s">
        <v>968</v>
      </c>
      <c r="H985">
        <v>7.75</v>
      </c>
      <c r="J985" s="1" t="s">
        <v>770</v>
      </c>
      <c r="K985">
        <v>108185010</v>
      </c>
      <c r="L985" s="2">
        <v>45866</v>
      </c>
      <c r="M985">
        <v>21</v>
      </c>
      <c r="N985">
        <v>1</v>
      </c>
      <c r="O985">
        <v>7</v>
      </c>
      <c r="P985">
        <v>1</v>
      </c>
      <c r="Q985" t="s">
        <v>7</v>
      </c>
      <c r="R985">
        <v>35.178800000000003</v>
      </c>
      <c r="S985">
        <v>-79.430070000000001</v>
      </c>
      <c r="T985" t="s">
        <v>761</v>
      </c>
      <c r="U985" t="s">
        <v>367</v>
      </c>
      <c r="V985">
        <v>0.1265</v>
      </c>
    </row>
    <row r="986" spans="1:22">
      <c r="A986" t="s">
        <v>1021</v>
      </c>
      <c r="B986" s="674" t="s">
        <v>968</v>
      </c>
      <c r="C986">
        <v>0</v>
      </c>
      <c r="E986" s="672" t="s">
        <v>962</v>
      </c>
      <c r="F986" s="675" t="s">
        <v>964</v>
      </c>
      <c r="G986" s="674" t="s">
        <v>968</v>
      </c>
      <c r="H986">
        <v>7.75</v>
      </c>
      <c r="J986" s="1" t="s">
        <v>770</v>
      </c>
      <c r="K986">
        <v>106144631</v>
      </c>
      <c r="L986" s="2">
        <v>43863</v>
      </c>
      <c r="M986">
        <v>30</v>
      </c>
      <c r="N986">
        <v>1</v>
      </c>
      <c r="O986">
        <v>7</v>
      </c>
      <c r="P986">
        <v>1</v>
      </c>
      <c r="Q986" t="s">
        <v>3</v>
      </c>
    </row>
    <row r="987" spans="1:22">
      <c r="A987" t="s">
        <v>1021</v>
      </c>
      <c r="B987" s="674" t="s">
        <v>1080</v>
      </c>
      <c r="C987">
        <v>0</v>
      </c>
      <c r="E987" s="672" t="s">
        <v>965</v>
      </c>
      <c r="F987" t="s">
        <v>1072</v>
      </c>
      <c r="G987" s="674" t="s">
        <v>968</v>
      </c>
      <c r="H987">
        <v>7.75</v>
      </c>
      <c r="J987" s="1" t="s">
        <v>770</v>
      </c>
      <c r="K987">
        <v>105720653</v>
      </c>
      <c r="L987" s="2">
        <v>43428</v>
      </c>
      <c r="M987">
        <v>21</v>
      </c>
      <c r="N987">
        <v>2</v>
      </c>
      <c r="O987">
        <v>0</v>
      </c>
      <c r="P987">
        <v>1</v>
      </c>
      <c r="Q987" t="s">
        <v>7</v>
      </c>
    </row>
    <row r="988" spans="1:22">
      <c r="A988" t="s">
        <v>1021</v>
      </c>
      <c r="B988" s="674" t="s">
        <v>1080</v>
      </c>
      <c r="C988">
        <v>0</v>
      </c>
      <c r="E988" s="672" t="s">
        <v>965</v>
      </c>
      <c r="F988" t="s">
        <v>1072</v>
      </c>
      <c r="G988" s="674" t="s">
        <v>968</v>
      </c>
      <c r="H988">
        <v>7.75</v>
      </c>
      <c r="J988" s="1" t="s">
        <v>770</v>
      </c>
      <c r="K988">
        <v>106811655</v>
      </c>
      <c r="L988" s="2">
        <v>44552</v>
      </c>
      <c r="M988">
        <v>21</v>
      </c>
      <c r="N988">
        <v>1</v>
      </c>
      <c r="O988">
        <v>7</v>
      </c>
      <c r="P988">
        <v>4</v>
      </c>
      <c r="Q988" t="s">
        <v>7</v>
      </c>
    </row>
    <row r="989" spans="1:22">
      <c r="A989" t="s">
        <v>1021</v>
      </c>
      <c r="B989" s="674" t="s">
        <v>1080</v>
      </c>
      <c r="C989">
        <v>0</v>
      </c>
      <c r="D989" t="s">
        <v>762</v>
      </c>
      <c r="E989" s="672" t="s">
        <v>965</v>
      </c>
      <c r="F989" s="673" t="s">
        <v>963</v>
      </c>
      <c r="G989" s="674" t="s">
        <v>968</v>
      </c>
      <c r="H989">
        <v>7.75</v>
      </c>
      <c r="J989" s="1" t="s">
        <v>770</v>
      </c>
      <c r="K989">
        <v>107922311</v>
      </c>
      <c r="L989" s="2">
        <v>45612</v>
      </c>
      <c r="M989">
        <v>28</v>
      </c>
      <c r="N989">
        <v>1</v>
      </c>
      <c r="O989">
        <v>0</v>
      </c>
      <c r="P989">
        <v>1</v>
      </c>
      <c r="Q989" t="s">
        <v>7</v>
      </c>
    </row>
    <row r="990" spans="1:22">
      <c r="A990" t="s">
        <v>1021</v>
      </c>
      <c r="B990" s="674" t="s">
        <v>1080</v>
      </c>
      <c r="C990">
        <v>0</v>
      </c>
      <c r="D990" t="s">
        <v>765</v>
      </c>
      <c r="E990" s="672" t="s">
        <v>965</v>
      </c>
      <c r="F990" s="675" t="s">
        <v>964</v>
      </c>
      <c r="G990" s="674" t="s">
        <v>968</v>
      </c>
      <c r="H990">
        <v>7.75</v>
      </c>
      <c r="J990" s="1" t="s">
        <v>770</v>
      </c>
      <c r="K990">
        <v>106801970</v>
      </c>
      <c r="L990" s="2">
        <v>44316</v>
      </c>
      <c r="M990">
        <v>21</v>
      </c>
      <c r="N990">
        <v>1</v>
      </c>
      <c r="O990">
        <v>7</v>
      </c>
      <c r="P990">
        <v>1</v>
      </c>
      <c r="Q990" t="s">
        <v>7</v>
      </c>
    </row>
    <row r="991" spans="1:22">
      <c r="A991" t="s">
        <v>1021</v>
      </c>
      <c r="B991" s="674" t="s">
        <v>1080</v>
      </c>
      <c r="C991">
        <v>0</v>
      </c>
      <c r="E991" s="672" t="s">
        <v>965</v>
      </c>
      <c r="F991" s="675" t="s">
        <v>964</v>
      </c>
      <c r="G991" s="674" t="s">
        <v>968</v>
      </c>
      <c r="H991">
        <v>7.75</v>
      </c>
      <c r="J991" s="1" t="s">
        <v>770</v>
      </c>
      <c r="K991">
        <v>107224539</v>
      </c>
      <c r="L991" s="2">
        <v>44952</v>
      </c>
      <c r="M991">
        <v>21</v>
      </c>
      <c r="N991">
        <v>1</v>
      </c>
      <c r="O991">
        <v>7</v>
      </c>
      <c r="P991">
        <v>1</v>
      </c>
      <c r="Q991" t="s">
        <v>3</v>
      </c>
    </row>
    <row r="992" spans="1:22">
      <c r="A992" t="s">
        <v>1021</v>
      </c>
      <c r="B992" s="674" t="s">
        <v>1080</v>
      </c>
      <c r="C992">
        <v>0</v>
      </c>
      <c r="D992" t="s">
        <v>757</v>
      </c>
      <c r="E992" s="672" t="s">
        <v>965</v>
      </c>
      <c r="F992" s="675" t="s">
        <v>964</v>
      </c>
      <c r="G992" s="674" t="s">
        <v>968</v>
      </c>
      <c r="H992">
        <v>7.75</v>
      </c>
      <c r="J992" s="1" t="s">
        <v>770</v>
      </c>
      <c r="K992">
        <v>106802459</v>
      </c>
      <c r="L992" s="2">
        <v>44540</v>
      </c>
      <c r="M992">
        <v>28</v>
      </c>
      <c r="N992">
        <v>1</v>
      </c>
      <c r="O992">
        <v>7</v>
      </c>
      <c r="P992">
        <v>5</v>
      </c>
      <c r="Q992" t="s">
        <v>7</v>
      </c>
    </row>
    <row r="993" spans="1:22">
      <c r="A993" t="s">
        <v>754</v>
      </c>
      <c r="B993" s="674" t="s">
        <v>968</v>
      </c>
      <c r="C993">
        <v>2E-3</v>
      </c>
      <c r="D993" t="s">
        <v>757</v>
      </c>
      <c r="E993" s="672" t="s">
        <v>962</v>
      </c>
      <c r="F993" s="673" t="s">
        <v>960</v>
      </c>
      <c r="G993" s="674" t="s">
        <v>968</v>
      </c>
      <c r="H993">
        <v>7.7519999999999998</v>
      </c>
      <c r="J993" s="1" t="s">
        <v>770</v>
      </c>
      <c r="K993">
        <v>106907942</v>
      </c>
      <c r="L993" s="2">
        <v>44651</v>
      </c>
      <c r="M993">
        <v>21</v>
      </c>
      <c r="N993">
        <v>2</v>
      </c>
      <c r="O993">
        <v>12</v>
      </c>
      <c r="P993">
        <v>1</v>
      </c>
      <c r="Q993" t="s">
        <v>7</v>
      </c>
    </row>
    <row r="994" spans="1:22">
      <c r="A994" t="s">
        <v>1021</v>
      </c>
      <c r="B994" s="674" t="s">
        <v>968</v>
      </c>
      <c r="C994">
        <v>3.0000000000000001E-3</v>
      </c>
      <c r="D994" t="s">
        <v>757</v>
      </c>
      <c r="E994" s="672" t="s">
        <v>965</v>
      </c>
      <c r="F994" t="s">
        <v>1085</v>
      </c>
      <c r="G994" s="674" t="s">
        <v>968</v>
      </c>
      <c r="H994">
        <v>7.7530000000000001</v>
      </c>
      <c r="J994" s="1" t="s">
        <v>770</v>
      </c>
      <c r="K994">
        <v>104998988</v>
      </c>
      <c r="L994" s="2">
        <v>42734</v>
      </c>
      <c r="M994">
        <v>30</v>
      </c>
      <c r="N994">
        <v>1</v>
      </c>
      <c r="O994">
        <v>7</v>
      </c>
      <c r="P994">
        <v>4</v>
      </c>
      <c r="Q994" t="s">
        <v>7</v>
      </c>
    </row>
    <row r="995" spans="1:22">
      <c r="A995" t="s">
        <v>1021</v>
      </c>
      <c r="B995" s="674" t="s">
        <v>968</v>
      </c>
      <c r="C995">
        <v>4.0000000000000001E-3</v>
      </c>
      <c r="D995" t="s">
        <v>765</v>
      </c>
      <c r="E995" s="672" t="s">
        <v>965</v>
      </c>
      <c r="F995" s="674" t="s">
        <v>977</v>
      </c>
      <c r="G995" s="674" t="s">
        <v>968</v>
      </c>
      <c r="H995">
        <v>7.7539999999999996</v>
      </c>
      <c r="J995" s="1" t="s">
        <v>770</v>
      </c>
      <c r="K995">
        <v>108029463</v>
      </c>
      <c r="L995" s="2">
        <v>45712</v>
      </c>
      <c r="M995">
        <v>1</v>
      </c>
      <c r="N995">
        <v>1</v>
      </c>
      <c r="O995">
        <v>7</v>
      </c>
      <c r="P995">
        <v>1</v>
      </c>
      <c r="Q995" t="s">
        <v>8</v>
      </c>
      <c r="R995">
        <v>35.177644999999998</v>
      </c>
      <c r="S995">
        <v>-79.431486000000007</v>
      </c>
      <c r="T995" t="s">
        <v>1060</v>
      </c>
      <c r="U995" t="s">
        <v>367</v>
      </c>
      <c r="V995">
        <v>0.20280000000000001</v>
      </c>
    </row>
    <row r="996" spans="1:22">
      <c r="A996" t="s">
        <v>754</v>
      </c>
      <c r="B996" s="674" t="s">
        <v>968</v>
      </c>
      <c r="C996">
        <v>4.0000000000000001E-3</v>
      </c>
      <c r="D996" t="s">
        <v>758</v>
      </c>
      <c r="E996" s="672" t="s">
        <v>961</v>
      </c>
      <c r="F996" t="s">
        <v>973</v>
      </c>
      <c r="G996" s="674" t="s">
        <v>968</v>
      </c>
      <c r="H996">
        <v>7.7539999999999996</v>
      </c>
      <c r="J996" s="1" t="s">
        <v>770</v>
      </c>
      <c r="K996">
        <v>108244961</v>
      </c>
      <c r="L996" s="2">
        <v>45926</v>
      </c>
      <c r="M996">
        <v>26</v>
      </c>
      <c r="N996">
        <v>1</v>
      </c>
      <c r="O996">
        <v>7</v>
      </c>
      <c r="P996">
        <v>1</v>
      </c>
      <c r="Q996" t="s">
        <v>7</v>
      </c>
      <c r="R996">
        <v>35.177320000000002</v>
      </c>
      <c r="S996">
        <v>-79.431910000000002</v>
      </c>
      <c r="T996" t="s">
        <v>761</v>
      </c>
      <c r="U996" t="s">
        <v>367</v>
      </c>
      <c r="V996">
        <v>0.23119999999999999</v>
      </c>
    </row>
    <row r="997" spans="1:22">
      <c r="A997" t="s">
        <v>1021</v>
      </c>
      <c r="B997" s="674" t="s">
        <v>968</v>
      </c>
      <c r="C997">
        <v>6.0000000000000001E-3</v>
      </c>
      <c r="D997" t="s">
        <v>758</v>
      </c>
      <c r="E997" s="672" t="s">
        <v>965</v>
      </c>
      <c r="F997" s="674" t="s">
        <v>977</v>
      </c>
      <c r="G997" s="674" t="s">
        <v>968</v>
      </c>
      <c r="H997">
        <v>7.7560000000000002</v>
      </c>
      <c r="J997" s="1" t="s">
        <v>770</v>
      </c>
      <c r="K997">
        <v>108377443</v>
      </c>
      <c r="L997" s="2">
        <v>46041</v>
      </c>
      <c r="M997">
        <v>30</v>
      </c>
      <c r="N997">
        <v>1</v>
      </c>
      <c r="O997">
        <v>0</v>
      </c>
      <c r="P997">
        <v>4</v>
      </c>
      <c r="Q997" t="s">
        <v>7</v>
      </c>
    </row>
    <row r="998" spans="1:22">
      <c r="A998" t="s">
        <v>1021</v>
      </c>
      <c r="B998" s="674" t="s">
        <v>968</v>
      </c>
      <c r="C998">
        <v>6.0000000000000001E-3</v>
      </c>
      <c r="D998" t="s">
        <v>757</v>
      </c>
      <c r="E998" s="672" t="s">
        <v>965</v>
      </c>
      <c r="F998" s="675" t="s">
        <v>964</v>
      </c>
      <c r="G998" s="674" t="s">
        <v>968</v>
      </c>
      <c r="H998">
        <v>7.7560000000000002</v>
      </c>
      <c r="J998" s="1" t="s">
        <v>770</v>
      </c>
      <c r="K998">
        <v>106891013</v>
      </c>
      <c r="L998" s="2">
        <v>44636</v>
      </c>
      <c r="M998">
        <v>24</v>
      </c>
      <c r="N998">
        <v>1</v>
      </c>
      <c r="O998">
        <v>0</v>
      </c>
      <c r="P998">
        <v>1</v>
      </c>
      <c r="Q998" t="s">
        <v>8</v>
      </c>
    </row>
    <row r="999" spans="1:22">
      <c r="A999" t="s">
        <v>1021</v>
      </c>
      <c r="B999" s="674" t="s">
        <v>1080</v>
      </c>
      <c r="C999">
        <v>6.0000000000000001E-3</v>
      </c>
      <c r="D999" t="s">
        <v>757</v>
      </c>
      <c r="E999" s="672" t="s">
        <v>965</v>
      </c>
      <c r="F999" s="673" t="s">
        <v>963</v>
      </c>
      <c r="G999" s="674" t="s">
        <v>968</v>
      </c>
      <c r="H999">
        <v>7.7560000000000002</v>
      </c>
      <c r="J999" s="1" t="s">
        <v>770</v>
      </c>
      <c r="K999">
        <v>106802032</v>
      </c>
      <c r="L999" s="2">
        <v>44348</v>
      </c>
      <c r="M999">
        <v>21</v>
      </c>
      <c r="N999">
        <v>1</v>
      </c>
      <c r="O999">
        <v>7</v>
      </c>
      <c r="P999">
        <v>1</v>
      </c>
      <c r="Q999" t="s">
        <v>7</v>
      </c>
    </row>
    <row r="1000" spans="1:22">
      <c r="A1000" t="s">
        <v>1021</v>
      </c>
      <c r="B1000" s="674" t="s">
        <v>968</v>
      </c>
      <c r="C1000">
        <v>8.9999999999999993E-3</v>
      </c>
      <c r="D1000" t="s">
        <v>765</v>
      </c>
      <c r="E1000" s="672" t="s">
        <v>965</v>
      </c>
      <c r="F1000" s="675" t="s">
        <v>964</v>
      </c>
      <c r="G1000" s="674" t="s">
        <v>968</v>
      </c>
      <c r="H1000">
        <v>7.7590000000000003</v>
      </c>
      <c r="J1000" s="1" t="s">
        <v>770</v>
      </c>
      <c r="K1000">
        <v>107479859</v>
      </c>
      <c r="L1000" s="2">
        <v>45206</v>
      </c>
      <c r="M1000">
        <v>26</v>
      </c>
      <c r="N1000">
        <v>1</v>
      </c>
      <c r="O1000">
        <v>7</v>
      </c>
      <c r="P1000">
        <v>5</v>
      </c>
      <c r="Q1000" t="s">
        <v>7</v>
      </c>
    </row>
    <row r="1001" spans="1:22">
      <c r="A1001" t="s">
        <v>1021</v>
      </c>
      <c r="B1001" s="674" t="s">
        <v>968</v>
      </c>
      <c r="C1001">
        <v>8.9999999999999993E-3</v>
      </c>
      <c r="D1001" t="s">
        <v>765</v>
      </c>
      <c r="E1001" s="672" t="s">
        <v>965</v>
      </c>
      <c r="G1001" s="674" t="s">
        <v>968</v>
      </c>
      <c r="H1001">
        <v>7.7590000000000003</v>
      </c>
      <c r="J1001" s="1" t="s">
        <v>770</v>
      </c>
      <c r="K1001">
        <v>107928263</v>
      </c>
      <c r="L1001" s="2">
        <v>45616</v>
      </c>
      <c r="M1001">
        <v>21</v>
      </c>
      <c r="N1001">
        <v>2</v>
      </c>
      <c r="O1001">
        <v>7</v>
      </c>
      <c r="P1001">
        <v>1</v>
      </c>
      <c r="Q1001" t="s">
        <v>7</v>
      </c>
    </row>
    <row r="1002" spans="1:22">
      <c r="A1002" t="s">
        <v>1021</v>
      </c>
      <c r="B1002" s="674" t="s">
        <v>968</v>
      </c>
      <c r="C1002">
        <v>1.2999999999999999E-2</v>
      </c>
      <c r="D1002" t="s">
        <v>765</v>
      </c>
      <c r="E1002" s="672" t="s">
        <v>965</v>
      </c>
      <c r="F1002" t="s">
        <v>1072</v>
      </c>
      <c r="G1002" s="674" t="s">
        <v>968</v>
      </c>
      <c r="H1002">
        <v>7.7629999999999999</v>
      </c>
      <c r="J1002" s="1" t="s">
        <v>770</v>
      </c>
      <c r="K1002">
        <v>107925112</v>
      </c>
      <c r="L1002" s="2">
        <v>45614</v>
      </c>
      <c r="M1002">
        <v>28</v>
      </c>
      <c r="N1002">
        <v>1</v>
      </c>
      <c r="O1002">
        <v>7</v>
      </c>
      <c r="P1002">
        <v>1</v>
      </c>
      <c r="Q1002" t="s">
        <v>7</v>
      </c>
    </row>
    <row r="1003" spans="1:22">
      <c r="A1003" t="s">
        <v>1021</v>
      </c>
      <c r="B1003" s="674" t="s">
        <v>968</v>
      </c>
      <c r="C1003">
        <v>1.4E-2</v>
      </c>
      <c r="D1003" t="s">
        <v>757</v>
      </c>
      <c r="E1003" s="672" t="s">
        <v>965</v>
      </c>
      <c r="F1003" t="s">
        <v>1072</v>
      </c>
      <c r="G1003" s="674" t="s">
        <v>968</v>
      </c>
      <c r="H1003">
        <v>7.7640000000000002</v>
      </c>
      <c r="J1003" s="1" t="s">
        <v>770</v>
      </c>
      <c r="K1003">
        <v>106802436</v>
      </c>
      <c r="L1003" s="2">
        <v>44538</v>
      </c>
      <c r="M1003">
        <v>21</v>
      </c>
      <c r="N1003">
        <v>1</v>
      </c>
      <c r="O1003">
        <v>0</v>
      </c>
      <c r="P1003">
        <v>1</v>
      </c>
      <c r="Q1003" t="s">
        <v>7</v>
      </c>
    </row>
    <row r="1004" spans="1:22">
      <c r="A1004" t="s">
        <v>1021</v>
      </c>
      <c r="B1004" s="674" t="s">
        <v>968</v>
      </c>
      <c r="C1004">
        <v>1.7000000000000001E-2</v>
      </c>
      <c r="D1004" t="s">
        <v>765</v>
      </c>
      <c r="E1004" s="672" t="s">
        <v>965</v>
      </c>
      <c r="F1004" t="s">
        <v>1072</v>
      </c>
      <c r="G1004" s="674" t="s">
        <v>968</v>
      </c>
      <c r="H1004">
        <v>7.7670000000000003</v>
      </c>
      <c r="J1004" s="1" t="s">
        <v>770</v>
      </c>
      <c r="K1004">
        <v>108541324</v>
      </c>
      <c r="L1004" s="2">
        <v>46199</v>
      </c>
      <c r="M1004">
        <v>22</v>
      </c>
      <c r="N1004">
        <v>1</v>
      </c>
      <c r="O1004">
        <v>0</v>
      </c>
      <c r="P1004">
        <v>1</v>
      </c>
      <c r="Q1004" t="s">
        <v>7</v>
      </c>
    </row>
    <row r="1005" spans="1:22">
      <c r="A1005" t="s">
        <v>1021</v>
      </c>
      <c r="B1005" s="674" t="s">
        <v>968</v>
      </c>
      <c r="C1005">
        <v>1.9E-2</v>
      </c>
      <c r="D1005" t="s">
        <v>765</v>
      </c>
      <c r="E1005" s="672" t="s">
        <v>965</v>
      </c>
      <c r="F1005" t="s">
        <v>1072</v>
      </c>
      <c r="G1005" s="674" t="s">
        <v>968</v>
      </c>
      <c r="H1005">
        <v>7.7690000000000001</v>
      </c>
      <c r="J1005" s="1" t="s">
        <v>770</v>
      </c>
      <c r="K1005">
        <v>107870047</v>
      </c>
      <c r="L1005" s="2">
        <v>45568</v>
      </c>
      <c r="M1005">
        <v>28</v>
      </c>
      <c r="N1005">
        <v>1</v>
      </c>
      <c r="O1005">
        <v>0</v>
      </c>
      <c r="P1005">
        <v>1</v>
      </c>
      <c r="Q1005" t="s">
        <v>7</v>
      </c>
    </row>
    <row r="1006" spans="1:22">
      <c r="A1006" t="s">
        <v>1021</v>
      </c>
      <c r="B1006" s="674" t="s">
        <v>968</v>
      </c>
      <c r="C1006">
        <v>1.9E-2</v>
      </c>
      <c r="D1006" t="s">
        <v>765</v>
      </c>
      <c r="E1006" s="672" t="s">
        <v>965</v>
      </c>
      <c r="F1006" t="s">
        <v>1072</v>
      </c>
      <c r="G1006" s="674" t="s">
        <v>968</v>
      </c>
      <c r="H1006">
        <v>7.7690000000000001</v>
      </c>
      <c r="J1006" s="1" t="s">
        <v>770</v>
      </c>
      <c r="K1006">
        <v>108436439</v>
      </c>
      <c r="L1006" s="2">
        <v>46054</v>
      </c>
      <c r="M1006">
        <v>28</v>
      </c>
      <c r="N1006">
        <v>4</v>
      </c>
      <c r="O1006">
        <v>7</v>
      </c>
      <c r="P1006">
        <v>1</v>
      </c>
      <c r="Q1006" t="s">
        <v>7</v>
      </c>
    </row>
    <row r="1007" spans="1:22">
      <c r="A1007" t="s">
        <v>1021</v>
      </c>
      <c r="B1007" s="674" t="s">
        <v>968</v>
      </c>
      <c r="C1007">
        <v>1.9E-2</v>
      </c>
      <c r="D1007" t="s">
        <v>765</v>
      </c>
      <c r="E1007" s="672" t="s">
        <v>965</v>
      </c>
      <c r="G1007" s="674" t="s">
        <v>968</v>
      </c>
      <c r="H1007">
        <v>7.7690000000000001</v>
      </c>
      <c r="J1007" s="1" t="s">
        <v>770</v>
      </c>
      <c r="K1007">
        <v>107260671</v>
      </c>
      <c r="L1007" s="2">
        <v>44989</v>
      </c>
      <c r="M1007">
        <v>21</v>
      </c>
      <c r="N1007">
        <v>1</v>
      </c>
      <c r="O1007">
        <v>7</v>
      </c>
      <c r="P1007">
        <v>2</v>
      </c>
      <c r="Q1007" t="s">
        <v>7</v>
      </c>
    </row>
    <row r="1008" spans="1:22">
      <c r="A1008" t="s">
        <v>1021</v>
      </c>
      <c r="B1008" s="674" t="s">
        <v>968</v>
      </c>
      <c r="C1008">
        <v>2.3E-2</v>
      </c>
      <c r="D1008" t="s">
        <v>765</v>
      </c>
      <c r="E1008" s="672" t="s">
        <v>965</v>
      </c>
      <c r="F1008" t="s">
        <v>1072</v>
      </c>
      <c r="G1008" s="674" t="s">
        <v>968</v>
      </c>
      <c r="H1008">
        <v>7.7729999999999997</v>
      </c>
      <c r="J1008" s="1" t="s">
        <v>770</v>
      </c>
      <c r="K1008">
        <v>107424312</v>
      </c>
      <c r="L1008" s="2">
        <v>45152</v>
      </c>
      <c r="M1008">
        <v>21</v>
      </c>
      <c r="N1008">
        <v>1</v>
      </c>
      <c r="O1008">
        <v>0</v>
      </c>
      <c r="P1008">
        <v>1</v>
      </c>
      <c r="Q1008" t="s">
        <v>7</v>
      </c>
    </row>
    <row r="1009" spans="1:17">
      <c r="A1009" t="s">
        <v>1021</v>
      </c>
      <c r="B1009" s="674" t="s">
        <v>968</v>
      </c>
      <c r="C1009">
        <v>2.5000000000000001E-2</v>
      </c>
      <c r="D1009" t="s">
        <v>765</v>
      </c>
      <c r="E1009" s="672" t="s">
        <v>965</v>
      </c>
      <c r="F1009" t="s">
        <v>1072</v>
      </c>
      <c r="G1009" s="674" t="s">
        <v>968</v>
      </c>
      <c r="H1009">
        <v>7.7750000000000004</v>
      </c>
      <c r="J1009" s="1" t="s">
        <v>770</v>
      </c>
      <c r="K1009">
        <v>107276706</v>
      </c>
      <c r="L1009" s="2">
        <v>45005</v>
      </c>
      <c r="M1009">
        <v>21</v>
      </c>
      <c r="N1009">
        <v>1</v>
      </c>
      <c r="O1009">
        <v>7</v>
      </c>
      <c r="P1009">
        <v>1</v>
      </c>
      <c r="Q1009" t="s">
        <v>7</v>
      </c>
    </row>
    <row r="1010" spans="1:17">
      <c r="A1010" t="s">
        <v>1021</v>
      </c>
      <c r="B1010" s="674" t="s">
        <v>968</v>
      </c>
      <c r="C1010">
        <v>2.5999999999999999E-2</v>
      </c>
      <c r="D1010" t="s">
        <v>6</v>
      </c>
      <c r="E1010" s="675" t="s">
        <v>964</v>
      </c>
      <c r="F1010" t="s">
        <v>1072</v>
      </c>
      <c r="G1010" s="674" t="s">
        <v>968</v>
      </c>
      <c r="H1010">
        <v>8.0950000000000006</v>
      </c>
      <c r="J1010" s="1" t="s">
        <v>770</v>
      </c>
      <c r="K1010">
        <v>107521749</v>
      </c>
      <c r="L1010" s="2">
        <v>45239</v>
      </c>
      <c r="M1010">
        <v>28</v>
      </c>
      <c r="N1010">
        <v>1</v>
      </c>
      <c r="O1010">
        <v>0</v>
      </c>
      <c r="P1010">
        <v>1</v>
      </c>
      <c r="Q1010" t="s">
        <v>7</v>
      </c>
    </row>
    <row r="1011" spans="1:17">
      <c r="A1011" t="s">
        <v>1021</v>
      </c>
      <c r="B1011" s="674" t="s">
        <v>968</v>
      </c>
      <c r="C1011">
        <v>1.2E-2</v>
      </c>
      <c r="D1011" t="s">
        <v>6</v>
      </c>
      <c r="E1011" s="675" t="s">
        <v>964</v>
      </c>
      <c r="F1011" t="s">
        <v>1072</v>
      </c>
      <c r="G1011" s="674" t="s">
        <v>968</v>
      </c>
      <c r="H1011">
        <v>8.109</v>
      </c>
      <c r="J1011" s="1" t="s">
        <v>770</v>
      </c>
      <c r="K1011">
        <v>108043216</v>
      </c>
      <c r="L1011" s="2">
        <v>45725</v>
      </c>
      <c r="M1011">
        <v>28</v>
      </c>
      <c r="N1011">
        <v>1</v>
      </c>
      <c r="O1011">
        <v>0</v>
      </c>
      <c r="P1011">
        <v>4</v>
      </c>
      <c r="Q1011" t="s">
        <v>7</v>
      </c>
    </row>
    <row r="1012" spans="1:17">
      <c r="A1012" t="s">
        <v>1021</v>
      </c>
      <c r="B1012" s="674" t="s">
        <v>968</v>
      </c>
      <c r="C1012">
        <v>0.01</v>
      </c>
      <c r="D1012" t="s">
        <v>6</v>
      </c>
      <c r="E1012" s="675" t="s">
        <v>964</v>
      </c>
      <c r="F1012" t="s">
        <v>1072</v>
      </c>
      <c r="G1012" s="674" t="s">
        <v>968</v>
      </c>
      <c r="H1012">
        <v>8.1110000000000007</v>
      </c>
      <c r="J1012" s="1" t="s">
        <v>770</v>
      </c>
      <c r="K1012">
        <v>105806661</v>
      </c>
      <c r="L1012" s="2">
        <v>43529</v>
      </c>
      <c r="M1012">
        <v>30</v>
      </c>
      <c r="N1012">
        <v>1</v>
      </c>
      <c r="O1012">
        <v>0</v>
      </c>
      <c r="P1012">
        <v>3</v>
      </c>
      <c r="Q1012" t="s">
        <v>3</v>
      </c>
    </row>
    <row r="1013" spans="1:17">
      <c r="A1013" t="s">
        <v>1021</v>
      </c>
      <c r="B1013" s="674" t="s">
        <v>968</v>
      </c>
      <c r="C1013">
        <v>0.01</v>
      </c>
      <c r="D1013" t="s">
        <v>6</v>
      </c>
      <c r="E1013" s="675" t="s">
        <v>964</v>
      </c>
      <c r="F1013" s="672" t="s">
        <v>965</v>
      </c>
      <c r="G1013" s="674" t="s">
        <v>968</v>
      </c>
      <c r="H1013">
        <v>8.1110000000000007</v>
      </c>
      <c r="J1013" s="1" t="s">
        <v>770</v>
      </c>
      <c r="K1013">
        <v>107353813</v>
      </c>
      <c r="L1013" s="2">
        <v>45080</v>
      </c>
      <c r="M1013">
        <v>21</v>
      </c>
      <c r="N1013">
        <v>1</v>
      </c>
      <c r="O1013">
        <v>0</v>
      </c>
      <c r="P1013">
        <v>1</v>
      </c>
      <c r="Q1013" t="s">
        <v>7</v>
      </c>
    </row>
    <row r="1014" spans="1:17">
      <c r="A1014" t="s">
        <v>1021</v>
      </c>
      <c r="B1014" s="674" t="s">
        <v>968</v>
      </c>
      <c r="C1014">
        <v>8.9999999999999993E-3</v>
      </c>
      <c r="D1014" t="s">
        <v>6</v>
      </c>
      <c r="E1014" s="675" t="s">
        <v>964</v>
      </c>
      <c r="F1014" s="672" t="s">
        <v>965</v>
      </c>
      <c r="G1014" s="674" t="s">
        <v>968</v>
      </c>
      <c r="H1014">
        <v>8.1120000000000001</v>
      </c>
      <c r="J1014" s="1" t="s">
        <v>770</v>
      </c>
      <c r="K1014">
        <v>107502134</v>
      </c>
      <c r="L1014" s="2">
        <v>45224</v>
      </c>
      <c r="M1014">
        <v>21</v>
      </c>
      <c r="N1014">
        <v>1</v>
      </c>
      <c r="O1014">
        <v>0</v>
      </c>
      <c r="P1014">
        <v>1</v>
      </c>
      <c r="Q1014" t="s">
        <v>7</v>
      </c>
    </row>
    <row r="1015" spans="1:17">
      <c r="A1015" t="s">
        <v>1021</v>
      </c>
      <c r="B1015" s="674" t="s">
        <v>968</v>
      </c>
      <c r="C1015">
        <v>8.9999999999999993E-3</v>
      </c>
      <c r="D1015" t="s">
        <v>6</v>
      </c>
      <c r="E1015" s="675" t="s">
        <v>964</v>
      </c>
      <c r="F1015" s="672" t="s">
        <v>965</v>
      </c>
      <c r="G1015" s="674" t="s">
        <v>968</v>
      </c>
      <c r="H1015">
        <v>8.1120000000000001</v>
      </c>
      <c r="J1015" s="1" t="s">
        <v>770</v>
      </c>
      <c r="K1015">
        <v>107845491</v>
      </c>
      <c r="L1015" s="2">
        <v>45546</v>
      </c>
      <c r="M1015">
        <v>28</v>
      </c>
      <c r="N1015">
        <v>1</v>
      </c>
      <c r="O1015">
        <v>0</v>
      </c>
      <c r="P1015">
        <v>1</v>
      </c>
      <c r="Q1015" t="s">
        <v>7</v>
      </c>
    </row>
    <row r="1016" spans="1:17">
      <c r="A1016" t="s">
        <v>1021</v>
      </c>
      <c r="B1016" s="674" t="s">
        <v>968</v>
      </c>
      <c r="C1016">
        <v>8.0000000000000002E-3</v>
      </c>
      <c r="D1016" t="s">
        <v>6</v>
      </c>
      <c r="E1016" s="675" t="s">
        <v>964</v>
      </c>
      <c r="F1016" t="s">
        <v>1072</v>
      </c>
      <c r="G1016" s="674" t="s">
        <v>968</v>
      </c>
      <c r="H1016">
        <v>8.1129999999999995</v>
      </c>
      <c r="J1016" s="1" t="s">
        <v>770</v>
      </c>
      <c r="K1016">
        <v>107637697</v>
      </c>
      <c r="L1016" s="2">
        <v>45349</v>
      </c>
      <c r="M1016">
        <v>21</v>
      </c>
      <c r="N1016">
        <v>2</v>
      </c>
      <c r="O1016">
        <v>7</v>
      </c>
      <c r="P1016">
        <v>1</v>
      </c>
      <c r="Q1016" t="s">
        <v>7</v>
      </c>
    </row>
    <row r="1017" spans="1:17">
      <c r="A1017" t="s">
        <v>1021</v>
      </c>
      <c r="B1017" s="674" t="s">
        <v>968</v>
      </c>
      <c r="C1017">
        <v>6.0000000000000001E-3</v>
      </c>
      <c r="D1017" t="s">
        <v>762</v>
      </c>
      <c r="E1017" s="675" t="s">
        <v>964</v>
      </c>
      <c r="F1017" t="s">
        <v>1072</v>
      </c>
      <c r="G1017" s="674" t="s">
        <v>968</v>
      </c>
      <c r="H1017">
        <v>8.1150000000000002</v>
      </c>
      <c r="J1017" s="1" t="s">
        <v>770</v>
      </c>
      <c r="K1017">
        <v>108295295</v>
      </c>
      <c r="L1017" s="2">
        <v>45966</v>
      </c>
      <c r="M1017">
        <v>28</v>
      </c>
      <c r="N1017">
        <v>1</v>
      </c>
      <c r="O1017">
        <v>12</v>
      </c>
      <c r="P1017">
        <v>1</v>
      </c>
      <c r="Q1017" t="s">
        <v>7</v>
      </c>
    </row>
    <row r="1018" spans="1:17">
      <c r="A1018" t="s">
        <v>1021</v>
      </c>
      <c r="B1018" s="674" t="s">
        <v>1080</v>
      </c>
      <c r="C1018">
        <v>4.0000000000000001E-3</v>
      </c>
      <c r="D1018" t="s">
        <v>762</v>
      </c>
      <c r="E1018" s="675" t="s">
        <v>964</v>
      </c>
      <c r="F1018" t="s">
        <v>1072</v>
      </c>
      <c r="G1018" s="674" t="s">
        <v>968</v>
      </c>
      <c r="H1018">
        <v>8.1170000000000009</v>
      </c>
      <c r="J1018" s="1" t="s">
        <v>770</v>
      </c>
      <c r="K1018">
        <v>106984104</v>
      </c>
      <c r="L1018" s="2">
        <v>44724</v>
      </c>
      <c r="M1018">
        <v>17</v>
      </c>
      <c r="N1018">
        <v>1</v>
      </c>
      <c r="O1018">
        <v>0</v>
      </c>
      <c r="P1018">
        <v>5</v>
      </c>
      <c r="Q1018" t="s">
        <v>7</v>
      </c>
    </row>
    <row r="1019" spans="1:17">
      <c r="A1019" t="s">
        <v>1021</v>
      </c>
      <c r="B1019" s="674" t="s">
        <v>968</v>
      </c>
      <c r="C1019">
        <v>0</v>
      </c>
      <c r="D1019" t="s">
        <v>758</v>
      </c>
      <c r="E1019" s="675" t="s">
        <v>964</v>
      </c>
      <c r="F1019" t="s">
        <v>985</v>
      </c>
      <c r="G1019" s="674" t="s">
        <v>968</v>
      </c>
      <c r="H1019">
        <v>8.1210000000000004</v>
      </c>
      <c r="J1019" s="1" t="s">
        <v>770</v>
      </c>
      <c r="K1019">
        <v>108392352</v>
      </c>
      <c r="L1019" s="2">
        <v>46058</v>
      </c>
      <c r="M1019">
        <v>17</v>
      </c>
      <c r="N1019">
        <v>1</v>
      </c>
      <c r="O1019">
        <v>8</v>
      </c>
      <c r="P1019">
        <v>4</v>
      </c>
      <c r="Q1019" t="s">
        <v>7</v>
      </c>
    </row>
    <row r="1020" spans="1:17">
      <c r="A1020" t="s">
        <v>1021</v>
      </c>
      <c r="B1020" s="674" t="s">
        <v>968</v>
      </c>
      <c r="C1020">
        <v>0</v>
      </c>
      <c r="E1020" s="675" t="s">
        <v>964</v>
      </c>
      <c r="F1020" t="s">
        <v>985</v>
      </c>
      <c r="G1020" s="674" t="s">
        <v>968</v>
      </c>
      <c r="H1020">
        <v>8.1210000000000004</v>
      </c>
      <c r="J1020" s="1" t="s">
        <v>770</v>
      </c>
      <c r="K1020">
        <v>108155197</v>
      </c>
      <c r="L1020" s="2">
        <v>45835</v>
      </c>
      <c r="M1020">
        <v>21</v>
      </c>
      <c r="N1020">
        <v>2</v>
      </c>
      <c r="O1020">
        <v>7</v>
      </c>
      <c r="P1020">
        <v>1</v>
      </c>
      <c r="Q1020" t="s">
        <v>7</v>
      </c>
    </row>
    <row r="1021" spans="1:17">
      <c r="A1021" t="s">
        <v>1021</v>
      </c>
      <c r="B1021" s="674" t="s">
        <v>968</v>
      </c>
      <c r="C1021">
        <v>0</v>
      </c>
      <c r="E1021" s="675" t="s">
        <v>964</v>
      </c>
      <c r="F1021" t="s">
        <v>985</v>
      </c>
      <c r="G1021" s="674" t="s">
        <v>968</v>
      </c>
      <c r="H1021">
        <v>8.1210000000000004</v>
      </c>
      <c r="J1021" s="1" t="s">
        <v>770</v>
      </c>
      <c r="K1021">
        <v>108033754</v>
      </c>
      <c r="L1021" s="2">
        <v>45716</v>
      </c>
      <c r="M1021">
        <v>30</v>
      </c>
      <c r="N1021">
        <v>1</v>
      </c>
      <c r="O1021">
        <v>7</v>
      </c>
      <c r="P1021">
        <v>1</v>
      </c>
      <c r="Q1021" t="s">
        <v>3</v>
      </c>
    </row>
    <row r="1022" spans="1:17">
      <c r="A1022" t="s">
        <v>1021</v>
      </c>
      <c r="B1022" s="674" t="s">
        <v>968</v>
      </c>
      <c r="C1022">
        <v>0</v>
      </c>
      <c r="E1022" s="675" t="s">
        <v>964</v>
      </c>
      <c r="F1022" t="s">
        <v>1134</v>
      </c>
      <c r="G1022" s="674" t="s">
        <v>968</v>
      </c>
      <c r="H1022">
        <v>8.1210000000000004</v>
      </c>
      <c r="J1022" s="1" t="s">
        <v>770</v>
      </c>
      <c r="K1022">
        <v>106801984</v>
      </c>
      <c r="L1022" s="2">
        <v>44323</v>
      </c>
      <c r="M1022">
        <v>21</v>
      </c>
      <c r="N1022">
        <v>2</v>
      </c>
      <c r="O1022">
        <v>7</v>
      </c>
      <c r="P1022">
        <v>1</v>
      </c>
      <c r="Q1022" t="s">
        <v>3</v>
      </c>
    </row>
    <row r="1023" spans="1:17">
      <c r="A1023" t="s">
        <v>1021</v>
      </c>
      <c r="B1023" s="674" t="s">
        <v>968</v>
      </c>
      <c r="C1023">
        <v>0</v>
      </c>
      <c r="E1023" s="675" t="s">
        <v>964</v>
      </c>
      <c r="F1023" t="s">
        <v>1085</v>
      </c>
      <c r="G1023" s="674" t="s">
        <v>968</v>
      </c>
      <c r="H1023">
        <v>8.1210000000000004</v>
      </c>
      <c r="J1023" s="1" t="s">
        <v>770</v>
      </c>
      <c r="K1023">
        <v>108203575</v>
      </c>
      <c r="L1023" s="2">
        <v>45886</v>
      </c>
      <c r="M1023">
        <v>21</v>
      </c>
      <c r="N1023">
        <v>1</v>
      </c>
      <c r="O1023">
        <v>7</v>
      </c>
      <c r="P1023">
        <v>1</v>
      </c>
      <c r="Q1023" t="s">
        <v>7</v>
      </c>
    </row>
    <row r="1024" spans="1:17">
      <c r="A1024" t="s">
        <v>1021</v>
      </c>
      <c r="B1024" s="674" t="s">
        <v>968</v>
      </c>
      <c r="C1024">
        <v>0</v>
      </c>
      <c r="E1024" s="675" t="s">
        <v>964</v>
      </c>
      <c r="F1024" t="s">
        <v>1072</v>
      </c>
      <c r="G1024" s="674" t="s">
        <v>968</v>
      </c>
      <c r="H1024">
        <v>8.1210000000000004</v>
      </c>
      <c r="J1024" s="1" t="s">
        <v>770</v>
      </c>
      <c r="K1024">
        <v>105028152</v>
      </c>
      <c r="L1024" s="2">
        <v>42769</v>
      </c>
      <c r="M1024">
        <v>21</v>
      </c>
      <c r="N1024">
        <v>1</v>
      </c>
      <c r="O1024">
        <v>7</v>
      </c>
      <c r="P1024">
        <v>1</v>
      </c>
      <c r="Q1024" t="s">
        <v>7</v>
      </c>
    </row>
    <row r="1025" spans="1:17">
      <c r="A1025" t="s">
        <v>1021</v>
      </c>
      <c r="B1025" s="674" t="s">
        <v>968</v>
      </c>
      <c r="C1025">
        <v>0</v>
      </c>
      <c r="D1025" t="s">
        <v>757</v>
      </c>
      <c r="E1025" s="675" t="s">
        <v>964</v>
      </c>
      <c r="F1025" t="s">
        <v>1072</v>
      </c>
      <c r="G1025" s="674" t="s">
        <v>968</v>
      </c>
      <c r="H1025">
        <v>8.1210000000000004</v>
      </c>
      <c r="J1025" s="1" t="s">
        <v>770</v>
      </c>
      <c r="K1025">
        <v>105186074</v>
      </c>
      <c r="L1025" s="2">
        <v>42944</v>
      </c>
      <c r="M1025">
        <v>21</v>
      </c>
      <c r="N1025">
        <v>1</v>
      </c>
      <c r="O1025">
        <v>0</v>
      </c>
      <c r="P1025">
        <v>1</v>
      </c>
      <c r="Q1025" t="s">
        <v>7</v>
      </c>
    </row>
    <row r="1026" spans="1:17">
      <c r="A1026" t="s">
        <v>1021</v>
      </c>
      <c r="B1026" s="674" t="s">
        <v>968</v>
      </c>
      <c r="C1026">
        <v>0</v>
      </c>
      <c r="E1026" s="675" t="s">
        <v>964</v>
      </c>
      <c r="F1026" t="s">
        <v>1072</v>
      </c>
      <c r="G1026" s="674" t="s">
        <v>968</v>
      </c>
      <c r="H1026">
        <v>8.1210000000000004</v>
      </c>
      <c r="J1026" s="1" t="s">
        <v>770</v>
      </c>
      <c r="K1026">
        <v>107149990</v>
      </c>
      <c r="L1026" s="2">
        <v>44864</v>
      </c>
      <c r="M1026">
        <v>21</v>
      </c>
      <c r="N1026">
        <v>1</v>
      </c>
      <c r="O1026">
        <v>7</v>
      </c>
      <c r="P1026">
        <v>5</v>
      </c>
      <c r="Q1026" t="s">
        <v>3</v>
      </c>
    </row>
    <row r="1027" spans="1:17">
      <c r="A1027" t="s">
        <v>1021</v>
      </c>
      <c r="B1027" s="674" t="s">
        <v>968</v>
      </c>
      <c r="C1027">
        <v>0</v>
      </c>
      <c r="E1027" s="675" t="s">
        <v>964</v>
      </c>
      <c r="F1027" t="s">
        <v>1072</v>
      </c>
      <c r="G1027" s="674" t="s">
        <v>968</v>
      </c>
      <c r="H1027">
        <v>8.1210000000000004</v>
      </c>
      <c r="J1027" s="1" t="s">
        <v>770</v>
      </c>
      <c r="K1027">
        <v>105445138</v>
      </c>
      <c r="L1027" s="2">
        <v>43172</v>
      </c>
      <c r="M1027">
        <v>30</v>
      </c>
      <c r="N1027">
        <v>1</v>
      </c>
      <c r="O1027">
        <v>7</v>
      </c>
      <c r="P1027">
        <v>1</v>
      </c>
      <c r="Q1027" t="s">
        <v>7</v>
      </c>
    </row>
    <row r="1028" spans="1:17">
      <c r="A1028" t="s">
        <v>1021</v>
      </c>
      <c r="B1028" s="674" t="s">
        <v>968</v>
      </c>
      <c r="C1028">
        <v>0</v>
      </c>
      <c r="D1028" t="s">
        <v>762</v>
      </c>
      <c r="E1028" s="675" t="s">
        <v>964</v>
      </c>
      <c r="F1028" t="s">
        <v>1072</v>
      </c>
      <c r="G1028" s="674" t="s">
        <v>968</v>
      </c>
      <c r="H1028">
        <v>8.1210000000000004</v>
      </c>
      <c r="J1028" s="1" t="s">
        <v>770</v>
      </c>
      <c r="K1028">
        <v>108568665</v>
      </c>
      <c r="L1028" s="2">
        <v>46226</v>
      </c>
      <c r="M1028">
        <v>30</v>
      </c>
      <c r="N1028">
        <v>2</v>
      </c>
      <c r="O1028">
        <v>12</v>
      </c>
      <c r="P1028">
        <v>1</v>
      </c>
      <c r="Q1028" t="s">
        <v>7</v>
      </c>
    </row>
    <row r="1029" spans="1:17">
      <c r="A1029" t="s">
        <v>1021</v>
      </c>
      <c r="B1029" s="674" t="s">
        <v>968</v>
      </c>
      <c r="C1029">
        <v>0</v>
      </c>
      <c r="E1029" s="675" t="s">
        <v>964</v>
      </c>
      <c r="F1029" s="675" t="s">
        <v>1023</v>
      </c>
      <c r="G1029" s="674" t="s">
        <v>968</v>
      </c>
      <c r="H1029">
        <v>8.1210000000000004</v>
      </c>
      <c r="J1029" s="1" t="s">
        <v>770</v>
      </c>
      <c r="K1029">
        <v>105445136</v>
      </c>
      <c r="L1029" s="2">
        <v>43172</v>
      </c>
      <c r="M1029">
        <v>21</v>
      </c>
      <c r="N1029">
        <v>1</v>
      </c>
      <c r="O1029">
        <v>7</v>
      </c>
      <c r="P1029">
        <v>4</v>
      </c>
      <c r="Q1029" t="s">
        <v>7</v>
      </c>
    </row>
    <row r="1030" spans="1:17">
      <c r="A1030" t="s">
        <v>1021</v>
      </c>
      <c r="B1030" s="674" t="s">
        <v>968</v>
      </c>
      <c r="C1030">
        <v>0</v>
      </c>
      <c r="E1030" s="675" t="s">
        <v>964</v>
      </c>
      <c r="F1030" t="s">
        <v>1045</v>
      </c>
      <c r="G1030" s="674" t="s">
        <v>968</v>
      </c>
      <c r="H1030">
        <v>8.1210000000000004</v>
      </c>
      <c r="J1030" s="1" t="s">
        <v>770</v>
      </c>
      <c r="K1030">
        <v>106001236</v>
      </c>
      <c r="L1030" s="2">
        <v>43714</v>
      </c>
      <c r="M1030">
        <v>21</v>
      </c>
      <c r="N1030">
        <v>1</v>
      </c>
      <c r="O1030">
        <v>7</v>
      </c>
      <c r="P1030">
        <v>5</v>
      </c>
      <c r="Q1030" t="s">
        <v>7</v>
      </c>
    </row>
    <row r="1031" spans="1:17">
      <c r="A1031" t="s">
        <v>1021</v>
      </c>
      <c r="B1031" s="674" t="s">
        <v>968</v>
      </c>
      <c r="C1031">
        <v>0</v>
      </c>
      <c r="D1031" t="s">
        <v>758</v>
      </c>
      <c r="E1031" s="675" t="s">
        <v>964</v>
      </c>
      <c r="F1031" t="s">
        <v>1045</v>
      </c>
      <c r="G1031" s="674" t="s">
        <v>968</v>
      </c>
      <c r="H1031">
        <v>8.1210000000000004</v>
      </c>
      <c r="J1031" s="1" t="s">
        <v>770</v>
      </c>
      <c r="K1031">
        <v>107270739</v>
      </c>
      <c r="L1031" s="2">
        <v>44998</v>
      </c>
      <c r="M1031">
        <v>21</v>
      </c>
      <c r="N1031">
        <v>2</v>
      </c>
      <c r="O1031">
        <v>0</v>
      </c>
      <c r="P1031">
        <v>1</v>
      </c>
      <c r="Q1031" t="s">
        <v>7</v>
      </c>
    </row>
    <row r="1032" spans="1:17">
      <c r="A1032" t="s">
        <v>1021</v>
      </c>
      <c r="B1032" s="674" t="s">
        <v>968</v>
      </c>
      <c r="C1032">
        <v>0</v>
      </c>
      <c r="E1032" s="675" t="s">
        <v>964</v>
      </c>
      <c r="F1032" t="s">
        <v>1045</v>
      </c>
      <c r="G1032" s="674" t="s">
        <v>968</v>
      </c>
      <c r="H1032">
        <v>8.1210000000000004</v>
      </c>
      <c r="J1032" s="1" t="s">
        <v>770</v>
      </c>
      <c r="K1032">
        <v>107149987</v>
      </c>
      <c r="L1032" s="2">
        <v>44863</v>
      </c>
      <c r="M1032">
        <v>24</v>
      </c>
      <c r="N1032">
        <v>1</v>
      </c>
      <c r="O1032">
        <v>7</v>
      </c>
      <c r="P1032">
        <v>2</v>
      </c>
      <c r="Q1032" t="s">
        <v>3</v>
      </c>
    </row>
    <row r="1033" spans="1:17">
      <c r="A1033" t="s">
        <v>1021</v>
      </c>
      <c r="B1033" s="674" t="s">
        <v>968</v>
      </c>
      <c r="C1033">
        <v>0</v>
      </c>
      <c r="E1033" s="675" t="s">
        <v>964</v>
      </c>
      <c r="F1033" t="s">
        <v>1045</v>
      </c>
      <c r="G1033" s="674" t="s">
        <v>968</v>
      </c>
      <c r="H1033">
        <v>8.1210000000000004</v>
      </c>
      <c r="J1033" s="1" t="s">
        <v>770</v>
      </c>
      <c r="K1033">
        <v>106159982</v>
      </c>
      <c r="L1033" s="2">
        <v>43811</v>
      </c>
      <c r="M1033">
        <v>30</v>
      </c>
      <c r="N1033">
        <v>1</v>
      </c>
      <c r="O1033">
        <v>7</v>
      </c>
      <c r="P1033">
        <v>1</v>
      </c>
      <c r="Q1033" t="s">
        <v>3</v>
      </c>
    </row>
    <row r="1034" spans="1:17">
      <c r="A1034" t="s">
        <v>1021</v>
      </c>
      <c r="B1034" s="674" t="s">
        <v>968</v>
      </c>
      <c r="C1034">
        <v>0</v>
      </c>
      <c r="E1034" s="675" t="s">
        <v>964</v>
      </c>
      <c r="F1034" s="672" t="s">
        <v>965</v>
      </c>
      <c r="G1034" s="674" t="s">
        <v>968</v>
      </c>
      <c r="H1034">
        <v>8.1210000000000004</v>
      </c>
      <c r="J1034" s="1" t="s">
        <v>770</v>
      </c>
      <c r="K1034">
        <v>105682129</v>
      </c>
      <c r="L1034" s="2">
        <v>43410</v>
      </c>
      <c r="M1034">
        <v>21</v>
      </c>
      <c r="N1034">
        <v>2</v>
      </c>
      <c r="O1034">
        <v>7</v>
      </c>
      <c r="P1034">
        <v>1</v>
      </c>
      <c r="Q1034" t="s">
        <v>7</v>
      </c>
    </row>
    <row r="1035" spans="1:17">
      <c r="A1035" t="s">
        <v>1021</v>
      </c>
      <c r="B1035" s="674" t="s">
        <v>968</v>
      </c>
      <c r="C1035">
        <v>0</v>
      </c>
      <c r="E1035" s="675" t="s">
        <v>964</v>
      </c>
      <c r="F1035" t="s">
        <v>969</v>
      </c>
      <c r="G1035" s="674" t="s">
        <v>968</v>
      </c>
      <c r="H1035">
        <v>8.1210000000000004</v>
      </c>
      <c r="J1035" s="1" t="s">
        <v>770</v>
      </c>
      <c r="K1035">
        <v>106187057</v>
      </c>
      <c r="L1035" s="2">
        <v>43857</v>
      </c>
      <c r="M1035">
        <v>30</v>
      </c>
      <c r="N1035">
        <v>1</v>
      </c>
      <c r="O1035">
        <v>7</v>
      </c>
      <c r="P1035">
        <v>1</v>
      </c>
      <c r="Q1035" t="s">
        <v>8</v>
      </c>
    </row>
    <row r="1036" spans="1:17">
      <c r="A1036" t="s">
        <v>1021</v>
      </c>
      <c r="B1036" s="674" t="s">
        <v>968</v>
      </c>
      <c r="C1036">
        <v>0</v>
      </c>
      <c r="E1036" s="675" t="s">
        <v>964</v>
      </c>
      <c r="F1036" t="s">
        <v>1110</v>
      </c>
      <c r="G1036" s="674" t="s">
        <v>968</v>
      </c>
      <c r="H1036">
        <v>8.1210000000000004</v>
      </c>
      <c r="J1036" s="1" t="s">
        <v>770</v>
      </c>
      <c r="K1036">
        <v>105881694</v>
      </c>
      <c r="L1036" s="2">
        <v>43586</v>
      </c>
      <c r="M1036">
        <v>21</v>
      </c>
      <c r="N1036">
        <v>1</v>
      </c>
      <c r="O1036">
        <v>7</v>
      </c>
      <c r="P1036">
        <v>1</v>
      </c>
      <c r="Q1036" t="s">
        <v>7</v>
      </c>
    </row>
    <row r="1037" spans="1:17">
      <c r="A1037" t="s">
        <v>1021</v>
      </c>
      <c r="B1037" s="674" t="s">
        <v>968</v>
      </c>
      <c r="C1037">
        <v>0</v>
      </c>
      <c r="E1037" s="675" t="s">
        <v>964</v>
      </c>
      <c r="G1037" s="674" t="s">
        <v>968</v>
      </c>
      <c r="H1037">
        <v>8.1210000000000004</v>
      </c>
      <c r="J1037" s="1" t="s">
        <v>770</v>
      </c>
      <c r="K1037">
        <v>107149988</v>
      </c>
      <c r="L1037" s="2">
        <v>44862</v>
      </c>
      <c r="M1037">
        <v>21</v>
      </c>
      <c r="N1037">
        <v>1</v>
      </c>
      <c r="O1037">
        <v>7</v>
      </c>
      <c r="P1037">
        <v>1</v>
      </c>
      <c r="Q1037" t="s">
        <v>7</v>
      </c>
    </row>
    <row r="1038" spans="1:17">
      <c r="A1038" t="s">
        <v>1021</v>
      </c>
      <c r="B1038" s="674" t="s">
        <v>968</v>
      </c>
      <c r="C1038">
        <v>0</v>
      </c>
      <c r="E1038" s="675" t="s">
        <v>964</v>
      </c>
      <c r="G1038" s="674" t="s">
        <v>968</v>
      </c>
      <c r="H1038">
        <v>8.1210000000000004</v>
      </c>
      <c r="J1038" s="1" t="s">
        <v>770</v>
      </c>
      <c r="K1038">
        <v>107513749</v>
      </c>
      <c r="L1038" s="2">
        <v>45233</v>
      </c>
      <c r="M1038">
        <v>30</v>
      </c>
      <c r="N1038">
        <v>1</v>
      </c>
      <c r="O1038">
        <v>7</v>
      </c>
      <c r="P1038">
        <v>3</v>
      </c>
      <c r="Q1038" t="s">
        <v>3</v>
      </c>
    </row>
    <row r="1039" spans="1:17">
      <c r="A1039" t="s">
        <v>1021</v>
      </c>
      <c r="B1039" s="674" t="s">
        <v>1080</v>
      </c>
      <c r="C1039">
        <v>0</v>
      </c>
      <c r="E1039" s="675" t="s">
        <v>964</v>
      </c>
      <c r="F1039" t="s">
        <v>985</v>
      </c>
      <c r="G1039" s="674" t="s">
        <v>968</v>
      </c>
      <c r="H1039">
        <v>8.1210000000000004</v>
      </c>
      <c r="J1039" s="1" t="s">
        <v>770</v>
      </c>
      <c r="K1039">
        <v>107061166</v>
      </c>
      <c r="L1039" s="2">
        <v>44802</v>
      </c>
      <c r="M1039">
        <v>28</v>
      </c>
      <c r="N1039">
        <v>1</v>
      </c>
      <c r="O1039">
        <v>7</v>
      </c>
      <c r="P1039">
        <v>1</v>
      </c>
      <c r="Q1039" t="s">
        <v>7</v>
      </c>
    </row>
    <row r="1040" spans="1:17">
      <c r="A1040" t="s">
        <v>1021</v>
      </c>
      <c r="B1040" s="674" t="s">
        <v>1080</v>
      </c>
      <c r="C1040">
        <v>0</v>
      </c>
      <c r="D1040" t="s">
        <v>758</v>
      </c>
      <c r="E1040" s="675" t="s">
        <v>964</v>
      </c>
      <c r="F1040" s="672" t="s">
        <v>965</v>
      </c>
      <c r="G1040" s="674" t="s">
        <v>968</v>
      </c>
      <c r="H1040">
        <v>8.1210000000000004</v>
      </c>
      <c r="J1040" s="1" t="s">
        <v>770</v>
      </c>
      <c r="K1040">
        <v>106801983</v>
      </c>
      <c r="L1040" s="2">
        <v>44322</v>
      </c>
      <c r="M1040">
        <v>19</v>
      </c>
      <c r="N1040">
        <v>1</v>
      </c>
      <c r="O1040">
        <v>7</v>
      </c>
      <c r="P1040">
        <v>1</v>
      </c>
      <c r="Q1040" t="s">
        <v>7</v>
      </c>
    </row>
    <row r="1041" spans="1:22">
      <c r="A1041" t="s">
        <v>1021</v>
      </c>
      <c r="B1041" s="674" t="s">
        <v>968</v>
      </c>
      <c r="C1041">
        <v>2E-3</v>
      </c>
      <c r="D1041" t="s">
        <v>757</v>
      </c>
      <c r="E1041" s="675" t="s">
        <v>964</v>
      </c>
      <c r="F1041" t="s">
        <v>985</v>
      </c>
      <c r="G1041" s="674" t="s">
        <v>968</v>
      </c>
      <c r="H1041">
        <v>8.1229999999999993</v>
      </c>
      <c r="J1041" s="1" t="s">
        <v>770</v>
      </c>
      <c r="K1041">
        <v>107247149</v>
      </c>
      <c r="L1041" s="2">
        <v>44973</v>
      </c>
      <c r="M1041">
        <v>21</v>
      </c>
      <c r="N1041">
        <v>1</v>
      </c>
      <c r="O1041">
        <v>7</v>
      </c>
      <c r="P1041">
        <v>1</v>
      </c>
      <c r="Q1041" t="s">
        <v>3</v>
      </c>
    </row>
    <row r="1042" spans="1:22">
      <c r="A1042" t="s">
        <v>1021</v>
      </c>
      <c r="B1042" s="674" t="s">
        <v>968</v>
      </c>
      <c r="C1042">
        <v>3.0000000000000001E-3</v>
      </c>
      <c r="D1042" t="s">
        <v>757</v>
      </c>
      <c r="E1042" s="675" t="s">
        <v>964</v>
      </c>
      <c r="F1042" t="s">
        <v>985</v>
      </c>
      <c r="G1042" s="674" t="s">
        <v>968</v>
      </c>
      <c r="H1042">
        <v>8.1240000000000006</v>
      </c>
      <c r="J1042" s="1" t="s">
        <v>770</v>
      </c>
      <c r="K1042">
        <v>108213433</v>
      </c>
      <c r="L1042" s="2">
        <v>45894</v>
      </c>
      <c r="M1042">
        <v>21</v>
      </c>
      <c r="N1042">
        <v>1</v>
      </c>
      <c r="O1042">
        <v>0</v>
      </c>
      <c r="P1042">
        <v>1</v>
      </c>
      <c r="Q1042" t="s">
        <v>7</v>
      </c>
    </row>
    <row r="1043" spans="1:22">
      <c r="A1043" t="s">
        <v>1021</v>
      </c>
      <c r="B1043" s="674" t="s">
        <v>968</v>
      </c>
      <c r="C1043">
        <v>5.0000000000000001E-3</v>
      </c>
      <c r="D1043" t="s">
        <v>758</v>
      </c>
      <c r="E1043" s="675" t="s">
        <v>964</v>
      </c>
      <c r="F1043" t="s">
        <v>985</v>
      </c>
      <c r="G1043" s="674" t="s">
        <v>968</v>
      </c>
      <c r="H1043">
        <v>8.1259999999999994</v>
      </c>
      <c r="J1043" s="1" t="s">
        <v>770</v>
      </c>
      <c r="K1043">
        <v>107080890</v>
      </c>
      <c r="L1043" s="2">
        <v>44820</v>
      </c>
      <c r="M1043">
        <v>21</v>
      </c>
      <c r="N1043">
        <v>1</v>
      </c>
      <c r="O1043">
        <v>0</v>
      </c>
      <c r="P1043">
        <v>1</v>
      </c>
      <c r="Q1043" t="s">
        <v>7</v>
      </c>
    </row>
    <row r="1044" spans="1:22">
      <c r="A1044" t="s">
        <v>1021</v>
      </c>
      <c r="B1044" s="674" t="s">
        <v>968</v>
      </c>
      <c r="C1044">
        <v>8.0000000000000002E-3</v>
      </c>
      <c r="D1044" t="s">
        <v>765</v>
      </c>
      <c r="E1044" s="675" t="s">
        <v>964</v>
      </c>
      <c r="F1044" t="s">
        <v>985</v>
      </c>
      <c r="G1044" s="674" t="s">
        <v>968</v>
      </c>
      <c r="H1044">
        <v>8.1289999999999996</v>
      </c>
      <c r="J1044" s="1" t="s">
        <v>770</v>
      </c>
      <c r="K1044">
        <v>108522615</v>
      </c>
      <c r="L1044" s="2">
        <v>46181</v>
      </c>
      <c r="M1044">
        <v>21</v>
      </c>
      <c r="N1044">
        <v>1</v>
      </c>
      <c r="O1044">
        <v>7</v>
      </c>
      <c r="P1044">
        <v>1</v>
      </c>
      <c r="Q1044" t="s">
        <v>3</v>
      </c>
    </row>
    <row r="1045" spans="1:22">
      <c r="A1045" t="s">
        <v>1021</v>
      </c>
      <c r="B1045" s="674" t="s">
        <v>968</v>
      </c>
      <c r="C1045">
        <v>8.0000000000000002E-3</v>
      </c>
      <c r="D1045" t="s">
        <v>765</v>
      </c>
      <c r="E1045" s="675" t="s">
        <v>964</v>
      </c>
      <c r="F1045" t="s">
        <v>1006</v>
      </c>
      <c r="G1045" s="674" t="s">
        <v>968</v>
      </c>
      <c r="H1045">
        <v>8.1289999999999996</v>
      </c>
      <c r="J1045" s="1" t="s">
        <v>770</v>
      </c>
      <c r="K1045">
        <v>108380334</v>
      </c>
      <c r="L1045" s="2">
        <v>46045</v>
      </c>
      <c r="M1045">
        <v>21</v>
      </c>
      <c r="N1045">
        <v>2</v>
      </c>
      <c r="O1045">
        <v>7</v>
      </c>
      <c r="P1045">
        <v>1</v>
      </c>
      <c r="Q1045" t="s">
        <v>7</v>
      </c>
    </row>
    <row r="1046" spans="1:22">
      <c r="A1046" t="s">
        <v>1021</v>
      </c>
      <c r="B1046" s="674" t="s">
        <v>968</v>
      </c>
      <c r="C1046">
        <v>8.9999999999999993E-3</v>
      </c>
      <c r="D1046" t="s">
        <v>757</v>
      </c>
      <c r="E1046" s="675" t="s">
        <v>964</v>
      </c>
      <c r="F1046" s="672" t="s">
        <v>965</v>
      </c>
      <c r="G1046" s="674" t="s">
        <v>968</v>
      </c>
      <c r="H1046">
        <v>8.1300000000000008</v>
      </c>
      <c r="J1046" s="1" t="s">
        <v>770</v>
      </c>
      <c r="K1046">
        <v>106125012</v>
      </c>
      <c r="L1046" s="2">
        <v>43807</v>
      </c>
      <c r="M1046">
        <v>17</v>
      </c>
      <c r="N1046">
        <v>1</v>
      </c>
      <c r="O1046">
        <v>0</v>
      </c>
      <c r="P1046">
        <v>5</v>
      </c>
      <c r="Q1046" t="s">
        <v>7</v>
      </c>
    </row>
    <row r="1047" spans="1:22">
      <c r="A1047" t="s">
        <v>1021</v>
      </c>
      <c r="B1047" s="674" t="s">
        <v>968</v>
      </c>
      <c r="C1047">
        <v>8.9999999999999993E-3</v>
      </c>
      <c r="D1047" t="s">
        <v>757</v>
      </c>
      <c r="E1047" s="675" t="s">
        <v>964</v>
      </c>
      <c r="F1047" s="675" t="s">
        <v>964</v>
      </c>
      <c r="G1047" s="674" t="s">
        <v>968</v>
      </c>
      <c r="H1047">
        <v>8.1300000000000008</v>
      </c>
      <c r="J1047" s="1" t="s">
        <v>770</v>
      </c>
      <c r="K1047">
        <v>108513240</v>
      </c>
      <c r="L1047" s="2">
        <v>46171</v>
      </c>
      <c r="M1047">
        <v>21</v>
      </c>
      <c r="N1047">
        <v>1</v>
      </c>
      <c r="O1047">
        <v>12</v>
      </c>
      <c r="P1047">
        <v>1</v>
      </c>
      <c r="Q1047" t="s">
        <v>7</v>
      </c>
    </row>
    <row r="1048" spans="1:22">
      <c r="A1048" t="s">
        <v>1021</v>
      </c>
      <c r="B1048" s="674" t="s">
        <v>968</v>
      </c>
      <c r="C1048">
        <v>0.01</v>
      </c>
      <c r="D1048" t="s">
        <v>757</v>
      </c>
      <c r="E1048" s="673" t="s">
        <v>960</v>
      </c>
      <c r="F1048" s="672" t="s">
        <v>962</v>
      </c>
      <c r="G1048" s="674" t="s">
        <v>968</v>
      </c>
      <c r="H1048">
        <v>8.1310000000000002</v>
      </c>
      <c r="J1048" s="1" t="s">
        <v>770</v>
      </c>
      <c r="K1048">
        <v>107958664</v>
      </c>
      <c r="L1048" s="2">
        <v>45637</v>
      </c>
      <c r="M1048">
        <v>21</v>
      </c>
      <c r="N1048">
        <v>1</v>
      </c>
      <c r="O1048">
        <v>0</v>
      </c>
      <c r="P1048">
        <v>1</v>
      </c>
      <c r="Q1048" t="s">
        <v>7</v>
      </c>
      <c r="R1048">
        <v>35.1813</v>
      </c>
      <c r="S1048">
        <v>-79.436099999999996</v>
      </c>
      <c r="T1048" t="s">
        <v>761</v>
      </c>
      <c r="U1048" t="s">
        <v>367</v>
      </c>
      <c r="V1048">
        <v>0.50749999999999995</v>
      </c>
    </row>
    <row r="1049" spans="1:22">
      <c r="A1049" t="s">
        <v>1021</v>
      </c>
      <c r="B1049" s="674" t="s">
        <v>968</v>
      </c>
      <c r="C1049">
        <v>1.2E-2</v>
      </c>
      <c r="D1049" t="s">
        <v>757</v>
      </c>
      <c r="E1049" s="675" t="s">
        <v>964</v>
      </c>
      <c r="F1049" t="s">
        <v>1045</v>
      </c>
      <c r="G1049" s="674" t="s">
        <v>968</v>
      </c>
      <c r="H1049">
        <v>8.1329999999999991</v>
      </c>
      <c r="J1049" s="1" t="s">
        <v>770</v>
      </c>
      <c r="K1049">
        <v>105894351</v>
      </c>
      <c r="L1049" s="2">
        <v>43600</v>
      </c>
      <c r="M1049">
        <v>21</v>
      </c>
      <c r="N1049">
        <v>1</v>
      </c>
      <c r="O1049">
        <v>7</v>
      </c>
      <c r="P1049">
        <v>1</v>
      </c>
      <c r="Q1049" t="s">
        <v>3</v>
      </c>
    </row>
    <row r="1050" spans="1:22">
      <c r="A1050" t="s">
        <v>1021</v>
      </c>
      <c r="B1050" s="674" t="s">
        <v>968</v>
      </c>
      <c r="C1050">
        <v>1.4E-2</v>
      </c>
      <c r="D1050" t="s">
        <v>757</v>
      </c>
      <c r="E1050" s="675" t="s">
        <v>964</v>
      </c>
      <c r="F1050" t="s">
        <v>985</v>
      </c>
      <c r="G1050" s="674" t="s">
        <v>968</v>
      </c>
      <c r="H1050">
        <v>8.1349999999999998</v>
      </c>
      <c r="J1050" s="1" t="s">
        <v>770</v>
      </c>
      <c r="K1050">
        <v>107345539</v>
      </c>
      <c r="L1050" s="2">
        <v>45072</v>
      </c>
      <c r="M1050">
        <v>21</v>
      </c>
      <c r="N1050">
        <v>1</v>
      </c>
      <c r="O1050">
        <v>0</v>
      </c>
      <c r="P1050">
        <v>1</v>
      </c>
      <c r="Q1050" t="s">
        <v>7</v>
      </c>
    </row>
    <row r="1051" spans="1:22">
      <c r="A1051" t="s">
        <v>1021</v>
      </c>
      <c r="B1051" s="674" t="s">
        <v>968</v>
      </c>
      <c r="C1051">
        <v>1.4E-2</v>
      </c>
      <c r="D1051" t="s">
        <v>757</v>
      </c>
      <c r="E1051" s="675" t="s">
        <v>964</v>
      </c>
      <c r="F1051" s="672" t="s">
        <v>965</v>
      </c>
      <c r="G1051" s="674" t="s">
        <v>968</v>
      </c>
      <c r="H1051">
        <v>8.1349999999999998</v>
      </c>
      <c r="J1051" s="1" t="s">
        <v>770</v>
      </c>
      <c r="K1051">
        <v>107637713</v>
      </c>
      <c r="L1051" s="2">
        <v>45350</v>
      </c>
      <c r="M1051">
        <v>21</v>
      </c>
      <c r="N1051">
        <v>1</v>
      </c>
      <c r="O1051">
        <v>7</v>
      </c>
      <c r="P1051">
        <v>1</v>
      </c>
      <c r="Q1051" t="s">
        <v>7</v>
      </c>
    </row>
    <row r="1052" spans="1:22">
      <c r="A1052" t="s">
        <v>1021</v>
      </c>
      <c r="B1052" s="674" t="s">
        <v>968</v>
      </c>
      <c r="C1052">
        <v>1.9E-2</v>
      </c>
      <c r="D1052" t="s">
        <v>765</v>
      </c>
      <c r="E1052" s="675" t="s">
        <v>964</v>
      </c>
      <c r="F1052" s="672" t="s">
        <v>965</v>
      </c>
      <c r="G1052" s="674" t="s">
        <v>968</v>
      </c>
      <c r="H1052">
        <v>8.14</v>
      </c>
      <c r="J1052" s="1" t="s">
        <v>770</v>
      </c>
      <c r="K1052">
        <v>108287186</v>
      </c>
      <c r="L1052" s="2">
        <v>45961</v>
      </c>
      <c r="M1052">
        <v>17</v>
      </c>
      <c r="N1052">
        <v>1</v>
      </c>
      <c r="O1052">
        <v>0</v>
      </c>
      <c r="P1052">
        <v>1</v>
      </c>
      <c r="Q1052" t="s">
        <v>7</v>
      </c>
    </row>
    <row r="1053" spans="1:22">
      <c r="A1053" t="s">
        <v>1021</v>
      </c>
      <c r="B1053" s="674" t="s">
        <v>968</v>
      </c>
      <c r="C1053">
        <v>2.3E-2</v>
      </c>
      <c r="D1053" t="s">
        <v>757</v>
      </c>
      <c r="E1053" s="675" t="s">
        <v>964</v>
      </c>
      <c r="F1053" t="s">
        <v>970</v>
      </c>
      <c r="G1053" s="674" t="s">
        <v>968</v>
      </c>
      <c r="H1053">
        <v>8.1440000000000001</v>
      </c>
      <c r="J1053" s="1" t="s">
        <v>770</v>
      </c>
      <c r="K1053">
        <v>106095514</v>
      </c>
      <c r="L1053" s="2">
        <v>43783</v>
      </c>
      <c r="M1053">
        <v>30</v>
      </c>
      <c r="N1053">
        <v>1</v>
      </c>
      <c r="O1053">
        <v>7</v>
      </c>
      <c r="P1053">
        <v>1</v>
      </c>
      <c r="Q1053" t="s">
        <v>7</v>
      </c>
    </row>
    <row r="1054" spans="1:22">
      <c r="A1054" t="s">
        <v>1021</v>
      </c>
      <c r="B1054" s="674" t="s">
        <v>968</v>
      </c>
      <c r="C1054">
        <v>2.5999999999999999E-2</v>
      </c>
      <c r="D1054" t="s">
        <v>765</v>
      </c>
      <c r="E1054" s="675" t="s">
        <v>964</v>
      </c>
      <c r="F1054" t="s">
        <v>1072</v>
      </c>
      <c r="G1054" s="674" t="s">
        <v>968</v>
      </c>
      <c r="H1054">
        <v>8.1470000000000002</v>
      </c>
      <c r="J1054" s="1" t="s">
        <v>770</v>
      </c>
      <c r="K1054">
        <v>105091230</v>
      </c>
      <c r="L1054" s="2">
        <v>42849</v>
      </c>
      <c r="M1054">
        <v>21</v>
      </c>
      <c r="N1054">
        <v>2</v>
      </c>
      <c r="O1054">
        <v>7</v>
      </c>
      <c r="P1054">
        <v>1</v>
      </c>
      <c r="Q1054" t="s">
        <v>3</v>
      </c>
    </row>
    <row r="1055" spans="1:22">
      <c r="A1055" t="s">
        <v>1021</v>
      </c>
      <c r="B1055" s="674" t="s">
        <v>968</v>
      </c>
      <c r="C1055">
        <v>2.7E-2</v>
      </c>
      <c r="D1055" t="s">
        <v>757</v>
      </c>
      <c r="E1055" s="675" t="s">
        <v>964</v>
      </c>
      <c r="F1055" t="s">
        <v>1045</v>
      </c>
      <c r="G1055" s="674" t="s">
        <v>968</v>
      </c>
      <c r="H1055">
        <v>8.1479999999999997</v>
      </c>
      <c r="J1055" s="1" t="s">
        <v>770</v>
      </c>
      <c r="K1055">
        <v>105720586</v>
      </c>
      <c r="L1055" s="2">
        <v>43411</v>
      </c>
      <c r="M1055">
        <v>28</v>
      </c>
      <c r="N1055">
        <v>1</v>
      </c>
      <c r="O1055">
        <v>0</v>
      </c>
      <c r="P1055">
        <v>5</v>
      </c>
      <c r="Q1055" t="s">
        <v>7</v>
      </c>
    </row>
    <row r="1056" spans="1:22">
      <c r="A1056" t="s">
        <v>1021</v>
      </c>
      <c r="B1056" t="s">
        <v>1048</v>
      </c>
      <c r="C1056">
        <v>0</v>
      </c>
      <c r="E1056" s="675" t="s">
        <v>964</v>
      </c>
      <c r="F1056" s="673" t="s">
        <v>967</v>
      </c>
      <c r="G1056" s="675" t="s">
        <v>964</v>
      </c>
      <c r="H1056">
        <v>999.99900000000002</v>
      </c>
      <c r="J1056" s="1" t="s">
        <v>770</v>
      </c>
      <c r="K1056">
        <v>107108233</v>
      </c>
      <c r="L1056" s="2">
        <v>44846</v>
      </c>
      <c r="M1056">
        <v>21</v>
      </c>
      <c r="N1056">
        <v>1</v>
      </c>
      <c r="O1056">
        <v>8</v>
      </c>
      <c r="P1056">
        <v>1</v>
      </c>
      <c r="Q1056" t="s">
        <v>7</v>
      </c>
    </row>
    <row r="1057" spans="1:22">
      <c r="A1057" t="s">
        <v>1021</v>
      </c>
      <c r="B1057" t="s">
        <v>1048</v>
      </c>
      <c r="C1057">
        <v>0</v>
      </c>
      <c r="D1057" t="s">
        <v>757</v>
      </c>
      <c r="E1057" s="675" t="s">
        <v>964</v>
      </c>
      <c r="F1057" t="s">
        <v>1058</v>
      </c>
      <c r="G1057" s="675" t="s">
        <v>964</v>
      </c>
      <c r="H1057">
        <v>999.99900000000002</v>
      </c>
      <c r="J1057" s="1" t="s">
        <v>770</v>
      </c>
      <c r="K1057">
        <v>107893113</v>
      </c>
      <c r="L1057" s="2">
        <v>44855</v>
      </c>
      <c r="M1057">
        <v>19</v>
      </c>
      <c r="N1057">
        <v>1</v>
      </c>
      <c r="O1057">
        <v>0</v>
      </c>
      <c r="P1057">
        <v>6</v>
      </c>
      <c r="Q1057" t="s">
        <v>7</v>
      </c>
    </row>
    <row r="1058" spans="1:22">
      <c r="A1058" t="s">
        <v>1021</v>
      </c>
      <c r="B1058" s="675" t="s">
        <v>964</v>
      </c>
      <c r="C1058">
        <v>2.9000000000000001E-2</v>
      </c>
      <c r="D1058" t="s">
        <v>6</v>
      </c>
      <c r="E1058" t="s">
        <v>1058</v>
      </c>
      <c r="F1058" s="673" t="s">
        <v>967</v>
      </c>
      <c r="G1058" s="675" t="s">
        <v>964</v>
      </c>
      <c r="H1058">
        <v>999.99900000000002</v>
      </c>
      <c r="J1058" s="1" t="s">
        <v>770</v>
      </c>
      <c r="K1058">
        <v>106849372</v>
      </c>
      <c r="L1058" s="2">
        <v>44594</v>
      </c>
      <c r="M1058">
        <v>28</v>
      </c>
      <c r="N1058">
        <v>1</v>
      </c>
      <c r="O1058">
        <v>0</v>
      </c>
      <c r="P1058">
        <v>1</v>
      </c>
      <c r="Q1058" t="s">
        <v>7</v>
      </c>
    </row>
    <row r="1059" spans="1:22">
      <c r="A1059" t="s">
        <v>1021</v>
      </c>
      <c r="B1059" s="675" t="s">
        <v>964</v>
      </c>
      <c r="C1059">
        <v>0</v>
      </c>
      <c r="E1059" t="s">
        <v>1070</v>
      </c>
      <c r="F1059" s="674" t="s">
        <v>968</v>
      </c>
      <c r="G1059" s="675" t="s">
        <v>964</v>
      </c>
      <c r="H1059">
        <v>999.99900000000002</v>
      </c>
      <c r="J1059" s="1" t="s">
        <v>770</v>
      </c>
      <c r="K1059">
        <v>105214622</v>
      </c>
      <c r="L1059" s="2">
        <v>42975</v>
      </c>
      <c r="M1059">
        <v>30</v>
      </c>
      <c r="N1059">
        <v>1</v>
      </c>
      <c r="O1059">
        <v>0</v>
      </c>
      <c r="P1059">
        <v>1</v>
      </c>
      <c r="Q1059" t="s">
        <v>7</v>
      </c>
    </row>
    <row r="1060" spans="1:22">
      <c r="A1060" t="s">
        <v>1021</v>
      </c>
      <c r="B1060" s="675" t="s">
        <v>964</v>
      </c>
      <c r="C1060">
        <v>0</v>
      </c>
      <c r="E1060" t="s">
        <v>1048</v>
      </c>
      <c r="F1060" s="673" t="s">
        <v>967</v>
      </c>
      <c r="G1060" s="675" t="s">
        <v>964</v>
      </c>
      <c r="H1060">
        <v>999.99900000000002</v>
      </c>
      <c r="J1060" s="1" t="s">
        <v>770</v>
      </c>
      <c r="K1060">
        <v>106961664</v>
      </c>
      <c r="L1060" s="2">
        <v>44701</v>
      </c>
      <c r="M1060">
        <v>30</v>
      </c>
      <c r="N1060">
        <v>1</v>
      </c>
      <c r="O1060">
        <v>9</v>
      </c>
      <c r="P1060">
        <v>1</v>
      </c>
      <c r="Q1060" t="s">
        <v>3</v>
      </c>
    </row>
    <row r="1061" spans="1:22">
      <c r="A1061" t="s">
        <v>1021</v>
      </c>
      <c r="B1061" s="672" t="s">
        <v>1130</v>
      </c>
      <c r="C1061">
        <v>0</v>
      </c>
      <c r="D1061" t="s">
        <v>763</v>
      </c>
      <c r="E1061" s="672" t="s">
        <v>965</v>
      </c>
      <c r="F1061" s="675" t="s">
        <v>1023</v>
      </c>
      <c r="H1061">
        <v>999.99900000000002</v>
      </c>
      <c r="J1061" s="1" t="s">
        <v>770</v>
      </c>
      <c r="K1061">
        <v>105577941</v>
      </c>
      <c r="L1061" s="2">
        <v>43324</v>
      </c>
      <c r="M1061">
        <v>31</v>
      </c>
      <c r="N1061">
        <v>1</v>
      </c>
      <c r="O1061">
        <v>0</v>
      </c>
      <c r="P1061">
        <v>1</v>
      </c>
      <c r="Q1061" t="s">
        <v>7</v>
      </c>
    </row>
    <row r="1062" spans="1:22">
      <c r="A1062" t="s">
        <v>970</v>
      </c>
      <c r="B1062" t="s">
        <v>984</v>
      </c>
      <c r="C1062">
        <v>0</v>
      </c>
      <c r="E1062" s="672" t="s">
        <v>965</v>
      </c>
      <c r="F1062" t="s">
        <v>985</v>
      </c>
      <c r="H1062">
        <v>999.99900000000002</v>
      </c>
      <c r="J1062" s="1" t="s">
        <v>770</v>
      </c>
      <c r="K1062">
        <v>107903961</v>
      </c>
      <c r="L1062" s="2">
        <v>45596</v>
      </c>
      <c r="M1062">
        <v>21</v>
      </c>
      <c r="N1062">
        <v>1</v>
      </c>
      <c r="O1062">
        <v>9</v>
      </c>
      <c r="P1062">
        <v>1</v>
      </c>
      <c r="Q1062" t="s">
        <v>7</v>
      </c>
    </row>
    <row r="1063" spans="1:22">
      <c r="A1063" t="s">
        <v>1021</v>
      </c>
      <c r="B1063" t="s">
        <v>985</v>
      </c>
      <c r="C1063">
        <v>8.9999999999999993E-3</v>
      </c>
      <c r="D1063" t="s">
        <v>765</v>
      </c>
      <c r="E1063" s="672" t="s">
        <v>965</v>
      </c>
      <c r="F1063" t="s">
        <v>985</v>
      </c>
      <c r="H1063">
        <v>999.99900000000002</v>
      </c>
      <c r="J1063" s="1" t="s">
        <v>770</v>
      </c>
      <c r="K1063">
        <v>107612188</v>
      </c>
      <c r="L1063" s="2">
        <v>45324</v>
      </c>
      <c r="M1063">
        <v>19</v>
      </c>
      <c r="N1063">
        <v>1</v>
      </c>
      <c r="O1063">
        <v>0</v>
      </c>
      <c r="P1063">
        <v>1</v>
      </c>
    </row>
    <row r="1064" spans="1:22">
      <c r="A1064" t="s">
        <v>970</v>
      </c>
      <c r="B1064" t="s">
        <v>978</v>
      </c>
      <c r="C1064">
        <v>2.8000000000000001E-2</v>
      </c>
      <c r="D1064" t="s">
        <v>6</v>
      </c>
      <c r="E1064" s="672" t="s">
        <v>965</v>
      </c>
      <c r="F1064" t="s">
        <v>978</v>
      </c>
      <c r="H1064">
        <v>999.99900000000002</v>
      </c>
      <c r="J1064" s="1" t="s">
        <v>770</v>
      </c>
      <c r="K1064">
        <v>107543211</v>
      </c>
      <c r="L1064" s="2">
        <v>45258</v>
      </c>
      <c r="M1064">
        <v>19</v>
      </c>
      <c r="N1064">
        <v>1</v>
      </c>
      <c r="O1064">
        <v>0</v>
      </c>
      <c r="P1064">
        <v>1</v>
      </c>
      <c r="Q1064" t="s">
        <v>7</v>
      </c>
      <c r="R1064">
        <v>35.176637999999997</v>
      </c>
      <c r="S1064">
        <v>-79.440675999999996</v>
      </c>
      <c r="T1064" t="s">
        <v>760</v>
      </c>
      <c r="U1064" t="s">
        <v>367</v>
      </c>
      <c r="V1064">
        <v>0.72619999999999996</v>
      </c>
    </row>
    <row r="1065" spans="1:22">
      <c r="A1065" t="s">
        <v>970</v>
      </c>
      <c r="B1065" t="s">
        <v>978</v>
      </c>
      <c r="C1065">
        <v>1.9E-2</v>
      </c>
      <c r="D1065" t="s">
        <v>6</v>
      </c>
      <c r="E1065" s="672" t="s">
        <v>965</v>
      </c>
      <c r="H1065">
        <v>999.99900000000002</v>
      </c>
      <c r="J1065" s="1" t="s">
        <v>770</v>
      </c>
      <c r="K1065">
        <v>106127933</v>
      </c>
      <c r="L1065" s="2">
        <v>43845</v>
      </c>
      <c r="M1065">
        <v>18</v>
      </c>
      <c r="N1065">
        <v>1</v>
      </c>
      <c r="O1065">
        <v>5</v>
      </c>
      <c r="P1065">
        <v>1</v>
      </c>
      <c r="Q1065" t="s">
        <v>7</v>
      </c>
    </row>
    <row r="1066" spans="1:22">
      <c r="A1066" t="s">
        <v>970</v>
      </c>
      <c r="B1066" t="s">
        <v>992</v>
      </c>
      <c r="C1066">
        <v>8.9999999999999993E-3</v>
      </c>
      <c r="D1066" t="s">
        <v>6</v>
      </c>
      <c r="E1066" s="672" t="s">
        <v>965</v>
      </c>
      <c r="F1066" t="s">
        <v>993</v>
      </c>
      <c r="H1066">
        <v>999.99900000000002</v>
      </c>
      <c r="J1066" s="1" t="s">
        <v>770</v>
      </c>
      <c r="K1066">
        <v>104943958</v>
      </c>
      <c r="L1066" s="2">
        <v>42714</v>
      </c>
      <c r="M1066">
        <v>31</v>
      </c>
      <c r="N1066">
        <v>1</v>
      </c>
      <c r="O1066">
        <v>4</v>
      </c>
      <c r="P1066">
        <v>1</v>
      </c>
      <c r="Q1066" t="s">
        <v>7</v>
      </c>
    </row>
    <row r="1067" spans="1:22">
      <c r="A1067" t="s">
        <v>1021</v>
      </c>
      <c r="B1067" t="s">
        <v>1142</v>
      </c>
      <c r="C1067">
        <v>0</v>
      </c>
      <c r="E1067" s="672" t="s">
        <v>965</v>
      </c>
      <c r="F1067" t="s">
        <v>1040</v>
      </c>
      <c r="H1067">
        <v>999.99900000000002</v>
      </c>
      <c r="J1067" s="1" t="s">
        <v>770</v>
      </c>
      <c r="K1067">
        <v>106898333</v>
      </c>
      <c r="L1067" s="2">
        <v>44642</v>
      </c>
      <c r="M1067">
        <v>29</v>
      </c>
      <c r="N1067">
        <v>1</v>
      </c>
      <c r="O1067">
        <v>7</v>
      </c>
      <c r="P1067">
        <v>1</v>
      </c>
      <c r="Q1067" t="s">
        <v>7</v>
      </c>
    </row>
    <row r="1068" spans="1:22">
      <c r="A1068" t="s">
        <v>1021</v>
      </c>
      <c r="B1068" t="s">
        <v>1174</v>
      </c>
      <c r="C1068">
        <v>0</v>
      </c>
      <c r="E1068" s="672" t="s">
        <v>965</v>
      </c>
      <c r="F1068" t="s">
        <v>1175</v>
      </c>
      <c r="H1068">
        <v>999.99900000000002</v>
      </c>
      <c r="J1068" s="1" t="s">
        <v>770</v>
      </c>
      <c r="K1068">
        <v>107835020</v>
      </c>
      <c r="L1068" s="2">
        <v>45535</v>
      </c>
      <c r="M1068">
        <v>28</v>
      </c>
      <c r="N1068">
        <v>1</v>
      </c>
      <c r="O1068">
        <v>9</v>
      </c>
      <c r="P1068">
        <v>1</v>
      </c>
      <c r="Q1068" t="s">
        <v>7</v>
      </c>
    </row>
    <row r="1069" spans="1:22">
      <c r="A1069" t="s">
        <v>754</v>
      </c>
      <c r="B1069" s="674" t="s">
        <v>986</v>
      </c>
      <c r="C1069">
        <v>0</v>
      </c>
      <c r="E1069" s="672" t="s">
        <v>962</v>
      </c>
      <c r="F1069" s="674" t="s">
        <v>968</v>
      </c>
      <c r="H1069">
        <v>999.99900000000002</v>
      </c>
      <c r="J1069" s="1" t="s">
        <v>770</v>
      </c>
      <c r="K1069">
        <v>105338829</v>
      </c>
      <c r="L1069" s="2">
        <v>43088</v>
      </c>
      <c r="M1069">
        <v>30</v>
      </c>
      <c r="N1069">
        <v>1</v>
      </c>
      <c r="O1069">
        <v>8</v>
      </c>
      <c r="P1069">
        <v>1</v>
      </c>
      <c r="Q1069" t="s">
        <v>7</v>
      </c>
    </row>
    <row r="1070" spans="1:22">
      <c r="A1070" t="s">
        <v>1021</v>
      </c>
      <c r="B1070" t="s">
        <v>1187</v>
      </c>
      <c r="C1070">
        <v>1.9E-2</v>
      </c>
      <c r="D1070" t="s">
        <v>757</v>
      </c>
      <c r="E1070" s="672" t="s">
        <v>965</v>
      </c>
      <c r="F1070" t="s">
        <v>1051</v>
      </c>
      <c r="H1070">
        <v>999.99900000000002</v>
      </c>
      <c r="J1070" s="1" t="s">
        <v>770</v>
      </c>
      <c r="K1070">
        <v>108139378</v>
      </c>
      <c r="L1070" s="2">
        <v>45820</v>
      </c>
      <c r="M1070">
        <v>28</v>
      </c>
      <c r="N1070">
        <v>1</v>
      </c>
      <c r="O1070">
        <v>0</v>
      </c>
      <c r="P1070">
        <v>1</v>
      </c>
      <c r="Q1070" t="s">
        <v>7</v>
      </c>
    </row>
    <row r="1071" spans="1:22">
      <c r="A1071" t="s">
        <v>1021</v>
      </c>
      <c r="B1071" s="674" t="s">
        <v>1106</v>
      </c>
      <c r="C1071">
        <v>0.01</v>
      </c>
      <c r="D1071" t="s">
        <v>6</v>
      </c>
      <c r="E1071" s="672" t="s">
        <v>965</v>
      </c>
      <c r="F1071" t="s">
        <v>1072</v>
      </c>
      <c r="H1071">
        <v>999.99900000000002</v>
      </c>
      <c r="J1071" s="1" t="s">
        <v>770</v>
      </c>
      <c r="K1071">
        <v>106022020</v>
      </c>
      <c r="L1071" s="2">
        <v>43721</v>
      </c>
      <c r="M1071">
        <v>21</v>
      </c>
      <c r="N1071">
        <v>1</v>
      </c>
      <c r="O1071">
        <v>7</v>
      </c>
      <c r="P1071">
        <v>4</v>
      </c>
      <c r="Q1071" t="s">
        <v>3</v>
      </c>
    </row>
    <row r="1072" spans="1:22">
      <c r="A1072" t="s">
        <v>1021</v>
      </c>
      <c r="B1072" s="672" t="s">
        <v>1183</v>
      </c>
      <c r="C1072">
        <v>0</v>
      </c>
      <c r="D1072" t="s">
        <v>6</v>
      </c>
      <c r="E1072" s="672" t="s">
        <v>965</v>
      </c>
      <c r="H1072">
        <v>999.99900000000002</v>
      </c>
      <c r="J1072" s="1" t="s">
        <v>770</v>
      </c>
      <c r="K1072">
        <v>108148472</v>
      </c>
      <c r="L1072" s="2">
        <v>45829</v>
      </c>
      <c r="M1072">
        <v>1</v>
      </c>
      <c r="N1072">
        <v>1</v>
      </c>
      <c r="O1072">
        <v>0</v>
      </c>
      <c r="P1072">
        <v>1</v>
      </c>
      <c r="Q1072" t="s">
        <v>7</v>
      </c>
    </row>
    <row r="1073" spans="1:17">
      <c r="A1073" t="s">
        <v>1021</v>
      </c>
      <c r="B1073" t="s">
        <v>1038</v>
      </c>
      <c r="C1073">
        <v>2.8000000000000001E-2</v>
      </c>
      <c r="D1073" t="s">
        <v>763</v>
      </c>
      <c r="E1073" s="672" t="s">
        <v>965</v>
      </c>
      <c r="F1073" t="s">
        <v>1185</v>
      </c>
      <c r="H1073">
        <v>999.99900000000002</v>
      </c>
      <c r="J1073" s="1" t="s">
        <v>770</v>
      </c>
      <c r="K1073">
        <v>108174677</v>
      </c>
      <c r="L1073" s="2">
        <v>45855</v>
      </c>
      <c r="M1073">
        <v>17</v>
      </c>
      <c r="N1073">
        <v>1</v>
      </c>
      <c r="O1073">
        <v>0</v>
      </c>
      <c r="P1073">
        <v>1</v>
      </c>
      <c r="Q1073" t="s">
        <v>7</v>
      </c>
    </row>
    <row r="1074" spans="1:17">
      <c r="A1074" t="s">
        <v>1021</v>
      </c>
      <c r="B1074" s="673" t="s">
        <v>967</v>
      </c>
      <c r="C1074">
        <v>3.0000000000000001E-3</v>
      </c>
      <c r="D1074" t="s">
        <v>757</v>
      </c>
      <c r="E1074" t="s">
        <v>1089</v>
      </c>
      <c r="F1074" t="s">
        <v>1029</v>
      </c>
      <c r="H1074">
        <v>999.99900000000002</v>
      </c>
      <c r="J1074" s="1" t="s">
        <v>770</v>
      </c>
      <c r="K1074">
        <v>105168876</v>
      </c>
      <c r="L1074" s="2">
        <v>42920</v>
      </c>
      <c r="M1074">
        <v>1</v>
      </c>
      <c r="N1074">
        <v>2</v>
      </c>
      <c r="O1074">
        <v>4</v>
      </c>
      <c r="P1074">
        <v>6</v>
      </c>
      <c r="Q1074" t="s">
        <v>7</v>
      </c>
    </row>
    <row r="1075" spans="1:17">
      <c r="A1075" t="s">
        <v>970</v>
      </c>
      <c r="B1075" t="s">
        <v>980</v>
      </c>
      <c r="C1075">
        <v>3.0000000000000001E-3</v>
      </c>
      <c r="D1075" t="s">
        <v>757</v>
      </c>
      <c r="E1075" s="672" t="s">
        <v>965</v>
      </c>
      <c r="F1075" t="s">
        <v>978</v>
      </c>
      <c r="H1075">
        <v>999.99900000000002</v>
      </c>
      <c r="J1075" s="1" t="s">
        <v>770</v>
      </c>
      <c r="K1075">
        <v>105004676</v>
      </c>
      <c r="L1075" s="2">
        <v>42777</v>
      </c>
      <c r="M1075">
        <v>19</v>
      </c>
      <c r="N1075">
        <v>1</v>
      </c>
      <c r="O1075">
        <v>8</v>
      </c>
      <c r="P1075">
        <v>4</v>
      </c>
      <c r="Q1075" t="s">
        <v>7</v>
      </c>
    </row>
    <row r="1076" spans="1:17">
      <c r="A1076" t="s">
        <v>1021</v>
      </c>
      <c r="B1076" s="674" t="s">
        <v>975</v>
      </c>
      <c r="C1076">
        <v>2E-3</v>
      </c>
      <c r="D1076" t="s">
        <v>757</v>
      </c>
      <c r="E1076" s="672" t="s">
        <v>965</v>
      </c>
      <c r="F1076" s="674" t="s">
        <v>968</v>
      </c>
      <c r="H1076">
        <v>999.99900000000002</v>
      </c>
      <c r="J1076" s="1" t="s">
        <v>770</v>
      </c>
      <c r="K1076">
        <v>106978877</v>
      </c>
      <c r="L1076" s="2">
        <v>44718</v>
      </c>
      <c r="M1076">
        <v>27</v>
      </c>
      <c r="N1076">
        <v>1</v>
      </c>
      <c r="O1076">
        <v>8</v>
      </c>
      <c r="P1076">
        <v>1</v>
      </c>
      <c r="Q1076" t="s">
        <v>7</v>
      </c>
    </row>
    <row r="1077" spans="1:17">
      <c r="A1077" t="s">
        <v>1021</v>
      </c>
      <c r="B1077" s="675" t="s">
        <v>966</v>
      </c>
      <c r="C1077">
        <v>3.7999999999999999E-2</v>
      </c>
      <c r="D1077" t="s">
        <v>757</v>
      </c>
      <c r="E1077" t="s">
        <v>1102</v>
      </c>
      <c r="F1077" t="s">
        <v>1050</v>
      </c>
      <c r="H1077">
        <v>999.99900000000002</v>
      </c>
      <c r="J1077" s="1" t="s">
        <v>770</v>
      </c>
      <c r="K1077">
        <v>107063516</v>
      </c>
      <c r="L1077" s="2">
        <v>44804</v>
      </c>
      <c r="M1077">
        <v>1</v>
      </c>
      <c r="N1077">
        <v>1</v>
      </c>
      <c r="O1077">
        <v>0</v>
      </c>
      <c r="P1077">
        <v>5</v>
      </c>
      <c r="Q1077" t="s">
        <v>3</v>
      </c>
    </row>
    <row r="1078" spans="1:17">
      <c r="A1078" t="s">
        <v>1021</v>
      </c>
      <c r="B1078" s="675" t="s">
        <v>966</v>
      </c>
      <c r="C1078">
        <v>0</v>
      </c>
      <c r="E1078" t="s">
        <v>1102</v>
      </c>
      <c r="F1078" t="s">
        <v>1028</v>
      </c>
      <c r="H1078">
        <v>999.99900000000002</v>
      </c>
      <c r="J1078" s="1" t="s">
        <v>770</v>
      </c>
      <c r="K1078">
        <v>106431933</v>
      </c>
      <c r="L1078" s="2">
        <v>44154</v>
      </c>
      <c r="M1078">
        <v>19</v>
      </c>
      <c r="N1078">
        <v>1</v>
      </c>
      <c r="P1078">
        <v>3</v>
      </c>
      <c r="Q1078" t="s">
        <v>7</v>
      </c>
    </row>
    <row r="1079" spans="1:17">
      <c r="A1079" t="s">
        <v>1021</v>
      </c>
      <c r="B1079" s="675" t="s">
        <v>966</v>
      </c>
      <c r="C1079">
        <v>0.09</v>
      </c>
      <c r="D1079" t="s">
        <v>758</v>
      </c>
      <c r="E1079" t="s">
        <v>1102</v>
      </c>
      <c r="F1079" t="s">
        <v>1028</v>
      </c>
      <c r="H1079">
        <v>999.99900000000002</v>
      </c>
      <c r="J1079" s="1" t="s">
        <v>770</v>
      </c>
      <c r="K1079">
        <v>106912565</v>
      </c>
      <c r="L1079" s="2">
        <v>44657</v>
      </c>
      <c r="M1079">
        <v>21</v>
      </c>
      <c r="N1079">
        <v>1</v>
      </c>
      <c r="O1079">
        <v>0</v>
      </c>
      <c r="P1079">
        <v>1</v>
      </c>
      <c r="Q1079" t="s">
        <v>7</v>
      </c>
    </row>
    <row r="1080" spans="1:17">
      <c r="A1080" t="s">
        <v>1021</v>
      </c>
      <c r="B1080" s="675" t="s">
        <v>966</v>
      </c>
      <c r="C1080">
        <v>1.9E-2</v>
      </c>
      <c r="D1080" t="s">
        <v>6</v>
      </c>
      <c r="E1080" t="s">
        <v>1131</v>
      </c>
      <c r="F1080" t="s">
        <v>1132</v>
      </c>
      <c r="H1080">
        <v>999.99900000000002</v>
      </c>
      <c r="J1080" s="1" t="s">
        <v>770</v>
      </c>
      <c r="K1080">
        <v>108504711</v>
      </c>
      <c r="L1080" s="2">
        <v>46162</v>
      </c>
      <c r="M1080">
        <v>17</v>
      </c>
      <c r="N1080">
        <v>1</v>
      </c>
      <c r="O1080">
        <v>0</v>
      </c>
      <c r="P1080">
        <v>5</v>
      </c>
      <c r="Q1080" t="s">
        <v>7</v>
      </c>
    </row>
    <row r="1081" spans="1:17">
      <c r="A1081" t="s">
        <v>1021</v>
      </c>
      <c r="B1081" s="675" t="s">
        <v>966</v>
      </c>
      <c r="C1081">
        <v>0.25</v>
      </c>
      <c r="D1081" t="s">
        <v>764</v>
      </c>
      <c r="E1081" s="673" t="s">
        <v>967</v>
      </c>
      <c r="F1081" t="s">
        <v>1102</v>
      </c>
      <c r="H1081">
        <v>999.99900000000002</v>
      </c>
      <c r="J1081" s="1" t="s">
        <v>770</v>
      </c>
      <c r="K1081">
        <v>107972093</v>
      </c>
      <c r="L1081" s="2">
        <v>45654</v>
      </c>
      <c r="M1081">
        <v>1</v>
      </c>
      <c r="N1081">
        <v>2</v>
      </c>
      <c r="O1081">
        <v>0</v>
      </c>
      <c r="P1081">
        <v>5</v>
      </c>
      <c r="Q1081" t="s">
        <v>7</v>
      </c>
    </row>
    <row r="1082" spans="1:17">
      <c r="A1082" t="s">
        <v>1021</v>
      </c>
      <c r="B1082" s="675" t="s">
        <v>966</v>
      </c>
      <c r="C1082">
        <v>0.16</v>
      </c>
      <c r="D1082" t="s">
        <v>764</v>
      </c>
      <c r="E1082" s="673" t="s">
        <v>967</v>
      </c>
      <c r="F1082" t="s">
        <v>1028</v>
      </c>
      <c r="H1082">
        <v>999.99900000000002</v>
      </c>
      <c r="J1082" s="1" t="s">
        <v>770</v>
      </c>
      <c r="K1082">
        <v>107009267</v>
      </c>
      <c r="L1082" s="2">
        <v>44749</v>
      </c>
      <c r="M1082">
        <v>18</v>
      </c>
      <c r="N1082">
        <v>1</v>
      </c>
      <c r="O1082">
        <v>0</v>
      </c>
      <c r="P1082">
        <v>5</v>
      </c>
      <c r="Q1082" t="s">
        <v>3</v>
      </c>
    </row>
    <row r="1083" spans="1:17">
      <c r="A1083" t="s">
        <v>1021</v>
      </c>
      <c r="B1083" s="675" t="s">
        <v>966</v>
      </c>
      <c r="C1083">
        <v>0</v>
      </c>
      <c r="E1083" t="s">
        <v>1086</v>
      </c>
      <c r="F1083" t="s">
        <v>1050</v>
      </c>
      <c r="H1083">
        <v>999.99900000000002</v>
      </c>
      <c r="J1083" s="1" t="s">
        <v>770</v>
      </c>
      <c r="K1083">
        <v>106802147</v>
      </c>
      <c r="L1083" s="2">
        <v>44395</v>
      </c>
      <c r="M1083">
        <v>24</v>
      </c>
      <c r="N1083">
        <v>1</v>
      </c>
      <c r="O1083">
        <v>8</v>
      </c>
      <c r="P1083">
        <v>1</v>
      </c>
      <c r="Q1083" t="s">
        <v>7</v>
      </c>
    </row>
    <row r="1084" spans="1:17">
      <c r="A1084" t="s">
        <v>1021</v>
      </c>
      <c r="B1084" s="675" t="s">
        <v>966</v>
      </c>
      <c r="C1084">
        <v>0</v>
      </c>
      <c r="E1084" t="s">
        <v>1086</v>
      </c>
      <c r="F1084" t="s">
        <v>1087</v>
      </c>
      <c r="H1084">
        <v>999.99900000000002</v>
      </c>
      <c r="J1084" s="1" t="s">
        <v>770</v>
      </c>
      <c r="K1084">
        <v>106337864</v>
      </c>
      <c r="L1084" s="2">
        <v>44053</v>
      </c>
      <c r="M1084">
        <v>24</v>
      </c>
      <c r="N1084">
        <v>2</v>
      </c>
      <c r="O1084">
        <v>8</v>
      </c>
      <c r="P1084">
        <v>1</v>
      </c>
      <c r="Q1084" t="s">
        <v>7</v>
      </c>
    </row>
    <row r="1085" spans="1:17">
      <c r="A1085" t="s">
        <v>1021</v>
      </c>
      <c r="B1085" s="675" t="s">
        <v>966</v>
      </c>
      <c r="C1085">
        <v>0</v>
      </c>
      <c r="D1085" t="s">
        <v>757</v>
      </c>
      <c r="E1085" t="s">
        <v>1086</v>
      </c>
      <c r="F1085" t="s">
        <v>1087</v>
      </c>
      <c r="H1085">
        <v>999.99900000000002</v>
      </c>
      <c r="J1085" s="1" t="s">
        <v>770</v>
      </c>
      <c r="K1085">
        <v>105056693</v>
      </c>
      <c r="L1085" s="2">
        <v>42816</v>
      </c>
      <c r="M1085">
        <v>30</v>
      </c>
      <c r="N1085">
        <v>1</v>
      </c>
      <c r="O1085">
        <v>8</v>
      </c>
      <c r="P1085">
        <v>1</v>
      </c>
      <c r="Q1085" t="s">
        <v>3</v>
      </c>
    </row>
    <row r="1086" spans="1:17">
      <c r="A1086" t="s">
        <v>1021</v>
      </c>
      <c r="B1086" s="675" t="s">
        <v>966</v>
      </c>
      <c r="C1086">
        <v>0</v>
      </c>
      <c r="E1086" t="s">
        <v>1087</v>
      </c>
      <c r="F1086" t="s">
        <v>1050</v>
      </c>
      <c r="H1086">
        <v>999.99900000000002</v>
      </c>
      <c r="J1086" s="1" t="s">
        <v>770</v>
      </c>
      <c r="K1086">
        <v>105823324</v>
      </c>
      <c r="L1086" s="2">
        <v>43547</v>
      </c>
      <c r="M1086">
        <v>30</v>
      </c>
      <c r="N1086">
        <v>1</v>
      </c>
      <c r="O1086">
        <v>8</v>
      </c>
      <c r="P1086">
        <v>1</v>
      </c>
      <c r="Q1086" t="s">
        <v>7</v>
      </c>
    </row>
    <row r="1087" spans="1:17">
      <c r="A1087" t="s">
        <v>1021</v>
      </c>
      <c r="B1087" s="675" t="s">
        <v>966</v>
      </c>
      <c r="C1087">
        <v>6.6000000000000003E-2</v>
      </c>
      <c r="D1087" t="s">
        <v>757</v>
      </c>
      <c r="E1087" t="s">
        <v>1087</v>
      </c>
      <c r="F1087" t="s">
        <v>1123</v>
      </c>
      <c r="H1087">
        <v>999.99900000000002</v>
      </c>
      <c r="J1087" s="1" t="s">
        <v>770</v>
      </c>
      <c r="K1087">
        <v>106095392</v>
      </c>
      <c r="L1087" s="2">
        <v>43777</v>
      </c>
      <c r="M1087">
        <v>2</v>
      </c>
      <c r="N1087">
        <v>1</v>
      </c>
      <c r="O1087">
        <v>0</v>
      </c>
      <c r="P1087">
        <v>5</v>
      </c>
      <c r="Q1087" t="s">
        <v>8</v>
      </c>
    </row>
    <row r="1088" spans="1:17">
      <c r="A1088" t="s">
        <v>1021</v>
      </c>
      <c r="B1088" s="675" t="s">
        <v>966</v>
      </c>
      <c r="C1088">
        <v>0.22</v>
      </c>
      <c r="D1088" t="s">
        <v>756</v>
      </c>
      <c r="E1088" t="s">
        <v>1028</v>
      </c>
      <c r="F1088" t="s">
        <v>1102</v>
      </c>
      <c r="H1088">
        <v>999.99900000000002</v>
      </c>
      <c r="J1088" s="1" t="s">
        <v>770</v>
      </c>
      <c r="K1088">
        <v>106502446</v>
      </c>
      <c r="L1088" s="2">
        <v>44196</v>
      </c>
      <c r="M1088">
        <v>1</v>
      </c>
      <c r="N1088">
        <v>2</v>
      </c>
      <c r="P1088">
        <v>5</v>
      </c>
      <c r="Q1088" t="s">
        <v>7</v>
      </c>
    </row>
    <row r="1089" spans="1:22">
      <c r="A1089" t="s">
        <v>1021</v>
      </c>
      <c r="B1089" s="675" t="s">
        <v>966</v>
      </c>
      <c r="C1089">
        <v>0.18</v>
      </c>
      <c r="D1089" t="s">
        <v>756</v>
      </c>
      <c r="E1089" t="s">
        <v>1028</v>
      </c>
      <c r="F1089" t="s">
        <v>1102</v>
      </c>
      <c r="H1089">
        <v>999.99900000000002</v>
      </c>
      <c r="J1089" s="1" t="s">
        <v>770</v>
      </c>
      <c r="K1089">
        <v>107719794</v>
      </c>
      <c r="L1089" s="2">
        <v>45426</v>
      </c>
      <c r="M1089">
        <v>1</v>
      </c>
      <c r="N1089">
        <v>2</v>
      </c>
      <c r="O1089">
        <v>0</v>
      </c>
      <c r="P1089">
        <v>1</v>
      </c>
      <c r="Q1089" t="s">
        <v>7</v>
      </c>
    </row>
    <row r="1090" spans="1:22">
      <c r="A1090" t="s">
        <v>1021</v>
      </c>
      <c r="B1090" s="675" t="s">
        <v>966</v>
      </c>
      <c r="C1090">
        <v>0.1</v>
      </c>
      <c r="D1090" t="s">
        <v>756</v>
      </c>
      <c r="E1090" t="s">
        <v>1028</v>
      </c>
      <c r="F1090" t="s">
        <v>1102</v>
      </c>
      <c r="H1090">
        <v>999.99900000000002</v>
      </c>
      <c r="J1090" s="1" t="s">
        <v>770</v>
      </c>
      <c r="K1090">
        <v>107985552</v>
      </c>
      <c r="L1090" s="2">
        <v>45667</v>
      </c>
      <c r="M1090">
        <v>2</v>
      </c>
      <c r="N1090">
        <v>6</v>
      </c>
      <c r="O1090">
        <v>0</v>
      </c>
      <c r="P1090">
        <v>5</v>
      </c>
      <c r="Q1090" t="s">
        <v>7</v>
      </c>
    </row>
    <row r="1091" spans="1:22">
      <c r="A1091" t="s">
        <v>1021</v>
      </c>
      <c r="B1091" s="675" t="s">
        <v>966</v>
      </c>
      <c r="C1091">
        <v>0.31</v>
      </c>
      <c r="D1091" t="s">
        <v>762</v>
      </c>
      <c r="E1091" t="s">
        <v>1028</v>
      </c>
      <c r="F1091" t="s">
        <v>1102</v>
      </c>
      <c r="H1091">
        <v>999.99900000000002</v>
      </c>
      <c r="J1091" s="1" t="s">
        <v>770</v>
      </c>
      <c r="K1091">
        <v>106578185</v>
      </c>
      <c r="L1091" s="2">
        <v>44274</v>
      </c>
      <c r="M1091">
        <v>21</v>
      </c>
      <c r="N1091">
        <v>2</v>
      </c>
      <c r="O1091">
        <v>7</v>
      </c>
      <c r="P1091">
        <v>1</v>
      </c>
      <c r="Q1091" t="s">
        <v>7</v>
      </c>
    </row>
    <row r="1092" spans="1:22">
      <c r="A1092" t="s">
        <v>1021</v>
      </c>
      <c r="B1092" s="675" t="s">
        <v>966</v>
      </c>
      <c r="C1092">
        <v>0.61</v>
      </c>
      <c r="D1092" t="s">
        <v>758</v>
      </c>
      <c r="E1092" t="s">
        <v>1028</v>
      </c>
      <c r="F1092" s="673" t="s">
        <v>967</v>
      </c>
      <c r="H1092">
        <v>999.99900000000002</v>
      </c>
      <c r="J1092" s="1" t="s">
        <v>770</v>
      </c>
      <c r="K1092">
        <v>107205109</v>
      </c>
      <c r="L1092" s="2">
        <v>44760</v>
      </c>
      <c r="M1092">
        <v>30</v>
      </c>
      <c r="N1092">
        <v>1</v>
      </c>
      <c r="O1092">
        <v>7</v>
      </c>
      <c r="P1092">
        <v>1</v>
      </c>
      <c r="Q1092" t="s">
        <v>3</v>
      </c>
    </row>
    <row r="1093" spans="1:22">
      <c r="A1093" t="s">
        <v>1021</v>
      </c>
      <c r="B1093" s="675" t="s">
        <v>966</v>
      </c>
      <c r="C1093">
        <v>0</v>
      </c>
      <c r="E1093" t="s">
        <v>1028</v>
      </c>
      <c r="F1093" t="s">
        <v>1050</v>
      </c>
      <c r="H1093">
        <v>999.99900000000002</v>
      </c>
      <c r="J1093" s="1" t="s">
        <v>770</v>
      </c>
      <c r="K1093">
        <v>105864810</v>
      </c>
      <c r="L1093" s="2">
        <v>43584</v>
      </c>
      <c r="M1093">
        <v>23</v>
      </c>
      <c r="N1093">
        <v>1</v>
      </c>
      <c r="O1093">
        <v>7</v>
      </c>
      <c r="P1093">
        <v>1</v>
      </c>
      <c r="Q1093" t="s">
        <v>7</v>
      </c>
    </row>
    <row r="1094" spans="1:22">
      <c r="A1094" t="s">
        <v>1021</v>
      </c>
      <c r="B1094" s="675" t="s">
        <v>966</v>
      </c>
      <c r="C1094">
        <v>0</v>
      </c>
      <c r="E1094" t="s">
        <v>1028</v>
      </c>
      <c r="F1094" t="s">
        <v>1050</v>
      </c>
      <c r="H1094">
        <v>999.99900000000002</v>
      </c>
      <c r="J1094" s="1" t="s">
        <v>770</v>
      </c>
      <c r="K1094">
        <v>106385300</v>
      </c>
      <c r="L1094" s="2">
        <v>44106</v>
      </c>
      <c r="M1094">
        <v>30</v>
      </c>
      <c r="N1094">
        <v>1</v>
      </c>
      <c r="O1094">
        <v>7</v>
      </c>
      <c r="P1094">
        <v>1</v>
      </c>
      <c r="Q1094" t="s">
        <v>7</v>
      </c>
    </row>
    <row r="1095" spans="1:22">
      <c r="A1095" t="s">
        <v>1021</v>
      </c>
      <c r="B1095" s="675" t="s">
        <v>966</v>
      </c>
      <c r="C1095">
        <v>0</v>
      </c>
      <c r="E1095" t="s">
        <v>1028</v>
      </c>
      <c r="F1095" t="s">
        <v>1050</v>
      </c>
      <c r="H1095">
        <v>999.99900000000002</v>
      </c>
      <c r="J1095" s="1" t="s">
        <v>770</v>
      </c>
      <c r="K1095">
        <v>106830777</v>
      </c>
      <c r="L1095" s="2">
        <v>44573</v>
      </c>
      <c r="M1095">
        <v>30</v>
      </c>
      <c r="N1095">
        <v>1</v>
      </c>
      <c r="O1095">
        <v>7</v>
      </c>
      <c r="P1095">
        <v>1</v>
      </c>
      <c r="Q1095" t="s">
        <v>7</v>
      </c>
    </row>
    <row r="1096" spans="1:22">
      <c r="A1096" t="s">
        <v>1021</v>
      </c>
      <c r="B1096" s="675" t="s">
        <v>966</v>
      </c>
      <c r="C1096">
        <v>0</v>
      </c>
      <c r="E1096" t="s">
        <v>1028</v>
      </c>
      <c r="F1096" t="s">
        <v>1050</v>
      </c>
      <c r="H1096">
        <v>999.99900000000002</v>
      </c>
      <c r="J1096" s="1" t="s">
        <v>770</v>
      </c>
      <c r="K1096">
        <v>106911212</v>
      </c>
      <c r="L1096" s="2">
        <v>44656</v>
      </c>
      <c r="M1096">
        <v>30</v>
      </c>
      <c r="N1096">
        <v>1</v>
      </c>
      <c r="O1096">
        <v>7</v>
      </c>
      <c r="P1096">
        <v>1</v>
      </c>
      <c r="Q1096" t="s">
        <v>7</v>
      </c>
      <c r="R1096">
        <v>35.197246999999997</v>
      </c>
      <c r="S1096">
        <v>-79.426888000000005</v>
      </c>
      <c r="T1096" t="s">
        <v>760</v>
      </c>
      <c r="U1096" t="s">
        <v>367</v>
      </c>
      <c r="V1096">
        <v>1.3180000000000001</v>
      </c>
    </row>
    <row r="1097" spans="1:22">
      <c r="A1097" t="s">
        <v>1021</v>
      </c>
      <c r="B1097" s="675" t="s">
        <v>966</v>
      </c>
      <c r="C1097">
        <v>0</v>
      </c>
      <c r="E1097" t="s">
        <v>1028</v>
      </c>
      <c r="F1097" t="s">
        <v>1050</v>
      </c>
      <c r="H1097">
        <v>999.99900000000002</v>
      </c>
      <c r="J1097" s="1" t="s">
        <v>770</v>
      </c>
      <c r="K1097">
        <v>108419482</v>
      </c>
      <c r="L1097" s="2">
        <v>46084</v>
      </c>
      <c r="M1097">
        <v>30</v>
      </c>
      <c r="N1097">
        <v>1</v>
      </c>
      <c r="O1097">
        <v>7</v>
      </c>
      <c r="P1097">
        <v>1</v>
      </c>
      <c r="Q1097" t="s">
        <v>7</v>
      </c>
    </row>
    <row r="1098" spans="1:22">
      <c r="A1098" t="s">
        <v>1021</v>
      </c>
      <c r="B1098" s="675" t="s">
        <v>966</v>
      </c>
      <c r="C1098">
        <v>0</v>
      </c>
      <c r="E1098" t="s">
        <v>1028</v>
      </c>
      <c r="F1098" t="s">
        <v>969</v>
      </c>
      <c r="H1098">
        <v>999.99900000000002</v>
      </c>
      <c r="J1098" s="1" t="s">
        <v>770</v>
      </c>
      <c r="K1098">
        <v>106064818</v>
      </c>
      <c r="L1098" s="2">
        <v>43765</v>
      </c>
      <c r="M1098">
        <v>30</v>
      </c>
      <c r="N1098">
        <v>1</v>
      </c>
      <c r="O1098">
        <v>7</v>
      </c>
      <c r="P1098">
        <v>2</v>
      </c>
      <c r="Q1098" t="s">
        <v>3</v>
      </c>
    </row>
    <row r="1099" spans="1:22">
      <c r="A1099" t="s">
        <v>1021</v>
      </c>
      <c r="B1099" s="675" t="s">
        <v>966</v>
      </c>
      <c r="C1099">
        <v>0</v>
      </c>
      <c r="E1099" t="s">
        <v>1028</v>
      </c>
      <c r="F1099" t="s">
        <v>1029</v>
      </c>
      <c r="H1099">
        <v>999.99900000000002</v>
      </c>
      <c r="J1099" s="1" t="s">
        <v>770</v>
      </c>
      <c r="K1099">
        <v>106350426</v>
      </c>
      <c r="L1099" s="2">
        <v>44058</v>
      </c>
      <c r="M1099">
        <v>30</v>
      </c>
      <c r="N1099">
        <v>1</v>
      </c>
      <c r="O1099">
        <v>7</v>
      </c>
      <c r="P1099">
        <v>1</v>
      </c>
      <c r="Q1099" t="s">
        <v>7</v>
      </c>
    </row>
    <row r="1100" spans="1:22">
      <c r="A1100" t="s">
        <v>1021</v>
      </c>
      <c r="B1100" s="675" t="s">
        <v>966</v>
      </c>
      <c r="C1100">
        <v>0.39</v>
      </c>
      <c r="D1100" t="s">
        <v>6</v>
      </c>
      <c r="E1100" t="s">
        <v>1028</v>
      </c>
      <c r="F1100" s="675" t="s">
        <v>964</v>
      </c>
      <c r="H1100">
        <v>999.99900000000002</v>
      </c>
      <c r="J1100" s="1" t="s">
        <v>770</v>
      </c>
      <c r="K1100">
        <v>105445151</v>
      </c>
      <c r="L1100" s="2">
        <v>43181</v>
      </c>
      <c r="M1100">
        <v>1</v>
      </c>
      <c r="N1100">
        <v>1</v>
      </c>
      <c r="O1100">
        <v>0</v>
      </c>
      <c r="P1100">
        <v>5</v>
      </c>
      <c r="Q1100" t="s">
        <v>7</v>
      </c>
    </row>
    <row r="1101" spans="1:22">
      <c r="A1101" t="s">
        <v>1021</v>
      </c>
      <c r="B1101" s="675" t="s">
        <v>966</v>
      </c>
      <c r="C1101">
        <v>0</v>
      </c>
      <c r="E1101" t="s">
        <v>1028</v>
      </c>
      <c r="F1101" s="675" t="s">
        <v>964</v>
      </c>
      <c r="H1101">
        <v>999.99900000000002</v>
      </c>
      <c r="J1101" s="1" t="s">
        <v>770</v>
      </c>
      <c r="K1101">
        <v>107366519</v>
      </c>
      <c r="L1101" s="2">
        <v>45030</v>
      </c>
      <c r="M1101">
        <v>23</v>
      </c>
      <c r="N1101">
        <v>2</v>
      </c>
      <c r="O1101">
        <v>7</v>
      </c>
      <c r="P1101">
        <v>1</v>
      </c>
      <c r="Q1101" t="s">
        <v>3</v>
      </c>
    </row>
    <row r="1102" spans="1:22">
      <c r="A1102" t="s">
        <v>1021</v>
      </c>
      <c r="B1102" s="675" t="s">
        <v>966</v>
      </c>
      <c r="C1102">
        <v>0</v>
      </c>
      <c r="E1102" t="s">
        <v>1028</v>
      </c>
      <c r="F1102" s="675" t="s">
        <v>964</v>
      </c>
      <c r="H1102">
        <v>999.99900000000002</v>
      </c>
      <c r="J1102" s="1" t="s">
        <v>770</v>
      </c>
      <c r="K1102">
        <v>106832235</v>
      </c>
      <c r="L1102" s="2">
        <v>44575</v>
      </c>
      <c r="M1102">
        <v>30</v>
      </c>
      <c r="N1102">
        <v>1</v>
      </c>
      <c r="O1102">
        <v>7</v>
      </c>
      <c r="P1102">
        <v>1</v>
      </c>
      <c r="Q1102" t="s">
        <v>3</v>
      </c>
    </row>
    <row r="1103" spans="1:22">
      <c r="A1103" t="s">
        <v>1021</v>
      </c>
      <c r="B1103" s="675" t="s">
        <v>966</v>
      </c>
      <c r="C1103">
        <v>8.9999999999999993E-3</v>
      </c>
      <c r="D1103" t="s">
        <v>6</v>
      </c>
      <c r="E1103" t="s">
        <v>1028</v>
      </c>
      <c r="F1103" s="675" t="s">
        <v>964</v>
      </c>
      <c r="H1103">
        <v>999.99900000000002</v>
      </c>
      <c r="J1103" s="1" t="s">
        <v>770</v>
      </c>
      <c r="K1103">
        <v>107462091</v>
      </c>
      <c r="L1103" s="2">
        <v>45187</v>
      </c>
      <c r="M1103">
        <v>30</v>
      </c>
      <c r="N1103">
        <v>1</v>
      </c>
      <c r="O1103">
        <v>0</v>
      </c>
      <c r="P1103">
        <v>1</v>
      </c>
      <c r="Q1103" t="s">
        <v>3</v>
      </c>
    </row>
    <row r="1104" spans="1:22">
      <c r="A1104" t="s">
        <v>1021</v>
      </c>
      <c r="B1104" s="675" t="s">
        <v>966</v>
      </c>
      <c r="C1104">
        <v>0</v>
      </c>
      <c r="E1104" t="s">
        <v>1028</v>
      </c>
      <c r="H1104">
        <v>999.99900000000002</v>
      </c>
      <c r="J1104" s="1" t="s">
        <v>770</v>
      </c>
      <c r="K1104">
        <v>106802146</v>
      </c>
      <c r="L1104" s="2">
        <v>44395</v>
      </c>
      <c r="M1104">
        <v>1</v>
      </c>
      <c r="N1104">
        <v>1</v>
      </c>
      <c r="O1104">
        <v>7</v>
      </c>
      <c r="P1104">
        <v>1</v>
      </c>
      <c r="Q1104" t="s">
        <v>7</v>
      </c>
    </row>
    <row r="1105" spans="1:17">
      <c r="A1105" t="s">
        <v>1021</v>
      </c>
      <c r="B1105" s="675" t="s">
        <v>966</v>
      </c>
      <c r="C1105">
        <v>4.1000000000000002E-2</v>
      </c>
      <c r="D1105" t="s">
        <v>6</v>
      </c>
      <c r="E1105" t="s">
        <v>1147</v>
      </c>
      <c r="F1105" t="s">
        <v>1050</v>
      </c>
      <c r="H1105">
        <v>999.99900000000002</v>
      </c>
      <c r="J1105" s="1" t="s">
        <v>770</v>
      </c>
      <c r="K1105">
        <v>105240099</v>
      </c>
      <c r="L1105" s="2">
        <v>43001</v>
      </c>
      <c r="M1105">
        <v>1</v>
      </c>
      <c r="N1105">
        <v>1</v>
      </c>
      <c r="O1105">
        <v>0</v>
      </c>
      <c r="P1105">
        <v>1</v>
      </c>
      <c r="Q1105" t="s">
        <v>3</v>
      </c>
    </row>
    <row r="1106" spans="1:17">
      <c r="A1106" t="s">
        <v>1021</v>
      </c>
      <c r="B1106" s="675" t="s">
        <v>966</v>
      </c>
      <c r="C1106">
        <v>4.4999999999999998E-2</v>
      </c>
      <c r="D1106" t="s">
        <v>6</v>
      </c>
      <c r="E1106" t="s">
        <v>1177</v>
      </c>
      <c r="F1106" t="s">
        <v>1102</v>
      </c>
      <c r="H1106">
        <v>999.99900000000002</v>
      </c>
      <c r="J1106" s="1" t="s">
        <v>770</v>
      </c>
      <c r="K1106">
        <v>107994044</v>
      </c>
      <c r="L1106" s="2">
        <v>45675</v>
      </c>
      <c r="M1106">
        <v>1</v>
      </c>
      <c r="N1106">
        <v>1</v>
      </c>
      <c r="O1106">
        <v>0</v>
      </c>
      <c r="P1106">
        <v>5</v>
      </c>
      <c r="Q1106" t="s">
        <v>8</v>
      </c>
    </row>
    <row r="1107" spans="1:17">
      <c r="A1107" t="s">
        <v>1021</v>
      </c>
      <c r="B1107" t="s">
        <v>1052</v>
      </c>
      <c r="C1107">
        <v>3.0000000000000001E-3</v>
      </c>
      <c r="D1107" t="s">
        <v>757</v>
      </c>
      <c r="E1107" s="672" t="s">
        <v>965</v>
      </c>
      <c r="F1107" t="s">
        <v>1053</v>
      </c>
      <c r="H1107">
        <v>999.99900000000002</v>
      </c>
      <c r="J1107" s="1" t="s">
        <v>770</v>
      </c>
      <c r="K1107">
        <v>106892028</v>
      </c>
      <c r="L1107" s="2">
        <v>44633</v>
      </c>
      <c r="M1107">
        <v>20</v>
      </c>
      <c r="N1107">
        <v>10</v>
      </c>
      <c r="O1107">
        <v>0</v>
      </c>
      <c r="P1107">
        <v>8</v>
      </c>
    </row>
    <row r="1108" spans="1:17">
      <c r="A1108" t="s">
        <v>1021</v>
      </c>
      <c r="B1108" t="s">
        <v>1052</v>
      </c>
      <c r="C1108">
        <v>1.0999999999999999E-2</v>
      </c>
      <c r="D1108" t="s">
        <v>757</v>
      </c>
      <c r="E1108" s="672" t="s">
        <v>965</v>
      </c>
      <c r="F1108" t="s">
        <v>1053</v>
      </c>
      <c r="H1108">
        <v>999.99900000000002</v>
      </c>
      <c r="J1108" s="1" t="s">
        <v>770</v>
      </c>
      <c r="K1108">
        <v>105372615</v>
      </c>
      <c r="L1108" s="2">
        <v>43103</v>
      </c>
      <c r="M1108">
        <v>30</v>
      </c>
      <c r="N1108">
        <v>4</v>
      </c>
      <c r="O1108">
        <v>8</v>
      </c>
      <c r="P1108">
        <v>5</v>
      </c>
      <c r="Q1108" t="s">
        <v>7</v>
      </c>
    </row>
    <row r="1109" spans="1:17">
      <c r="A1109" t="s">
        <v>1021</v>
      </c>
      <c r="B1109" t="s">
        <v>1052</v>
      </c>
      <c r="C1109">
        <v>8.9999999999999993E-3</v>
      </c>
      <c r="D1109" t="s">
        <v>757</v>
      </c>
      <c r="E1109" s="672" t="s">
        <v>962</v>
      </c>
      <c r="F1109" t="s">
        <v>1053</v>
      </c>
      <c r="H1109">
        <v>999.99900000000002</v>
      </c>
      <c r="J1109" s="1" t="s">
        <v>770</v>
      </c>
      <c r="K1109">
        <v>107505077</v>
      </c>
      <c r="L1109" s="2">
        <v>45211</v>
      </c>
      <c r="M1109">
        <v>32</v>
      </c>
      <c r="N1109">
        <v>1</v>
      </c>
      <c r="O1109">
        <v>0</v>
      </c>
      <c r="P1109">
        <v>1</v>
      </c>
      <c r="Q1109" t="s">
        <v>7</v>
      </c>
    </row>
    <row r="1110" spans="1:17">
      <c r="A1110" t="s">
        <v>970</v>
      </c>
      <c r="B1110" t="s">
        <v>971</v>
      </c>
      <c r="C1110">
        <v>2E-3</v>
      </c>
      <c r="D1110" t="s">
        <v>6</v>
      </c>
      <c r="E1110" s="672" t="s">
        <v>965</v>
      </c>
      <c r="F1110" t="s">
        <v>994</v>
      </c>
      <c r="H1110">
        <v>999.99900000000002</v>
      </c>
      <c r="J1110" s="1" t="s">
        <v>770</v>
      </c>
      <c r="K1110">
        <v>105097137</v>
      </c>
      <c r="L1110" s="2">
        <v>42863</v>
      </c>
      <c r="M1110">
        <v>1</v>
      </c>
      <c r="N1110">
        <v>1</v>
      </c>
      <c r="O1110">
        <v>0</v>
      </c>
      <c r="P1110">
        <v>1</v>
      </c>
      <c r="Q1110" t="s">
        <v>7</v>
      </c>
    </row>
    <row r="1111" spans="1:17">
      <c r="A1111" t="s">
        <v>970</v>
      </c>
      <c r="B1111" s="672" t="s">
        <v>965</v>
      </c>
      <c r="C1111">
        <v>0</v>
      </c>
      <c r="E1111" t="s">
        <v>984</v>
      </c>
      <c r="F1111" t="s">
        <v>985</v>
      </c>
      <c r="H1111">
        <v>999.99900000000002</v>
      </c>
      <c r="J1111" s="1" t="s">
        <v>770</v>
      </c>
      <c r="K1111">
        <v>107814414</v>
      </c>
      <c r="L1111" s="2">
        <v>45512</v>
      </c>
      <c r="M1111">
        <v>30</v>
      </c>
      <c r="N1111">
        <v>2</v>
      </c>
      <c r="O1111">
        <v>0</v>
      </c>
      <c r="P1111">
        <v>1</v>
      </c>
      <c r="Q1111" t="s">
        <v>7</v>
      </c>
    </row>
    <row r="1112" spans="1:17">
      <c r="A1112" t="s">
        <v>970</v>
      </c>
      <c r="B1112" s="672" t="s">
        <v>965</v>
      </c>
      <c r="C1112">
        <v>0</v>
      </c>
      <c r="E1112" t="s">
        <v>984</v>
      </c>
      <c r="F1112" t="s">
        <v>978</v>
      </c>
      <c r="H1112">
        <v>999.99900000000002</v>
      </c>
      <c r="J1112" s="1" t="s">
        <v>770</v>
      </c>
      <c r="K1112">
        <v>107983295</v>
      </c>
      <c r="L1112" s="2">
        <v>45665</v>
      </c>
      <c r="M1112">
        <v>30</v>
      </c>
      <c r="N1112">
        <v>1</v>
      </c>
      <c r="O1112">
        <v>7</v>
      </c>
      <c r="P1112">
        <v>1</v>
      </c>
      <c r="Q1112" t="s">
        <v>7</v>
      </c>
    </row>
    <row r="1113" spans="1:17">
      <c r="A1113" t="s">
        <v>1021</v>
      </c>
      <c r="B1113" s="672" t="s">
        <v>965</v>
      </c>
      <c r="C1113">
        <v>0</v>
      </c>
      <c r="D1113" t="s">
        <v>756</v>
      </c>
      <c r="E1113" t="s">
        <v>1179</v>
      </c>
      <c r="F1113" t="s">
        <v>1056</v>
      </c>
      <c r="H1113">
        <v>999.99900000000002</v>
      </c>
      <c r="J1113" s="1" t="s">
        <v>770</v>
      </c>
      <c r="K1113">
        <v>107745023</v>
      </c>
      <c r="L1113" s="2">
        <v>45451</v>
      </c>
      <c r="M1113">
        <v>21</v>
      </c>
      <c r="N1113">
        <v>1</v>
      </c>
      <c r="O1113">
        <v>0</v>
      </c>
      <c r="P1113">
        <v>1</v>
      </c>
      <c r="Q1113" t="s">
        <v>7</v>
      </c>
    </row>
    <row r="1114" spans="1:17">
      <c r="A1114" t="s">
        <v>970</v>
      </c>
      <c r="B1114" s="672" t="s">
        <v>965</v>
      </c>
      <c r="C1114">
        <v>0</v>
      </c>
      <c r="E1114" t="s">
        <v>1001</v>
      </c>
      <c r="F1114" t="s">
        <v>985</v>
      </c>
      <c r="H1114">
        <v>999.99900000000002</v>
      </c>
      <c r="J1114" s="1" t="s">
        <v>770</v>
      </c>
      <c r="K1114">
        <v>107627154</v>
      </c>
      <c r="L1114" s="2">
        <v>45338</v>
      </c>
      <c r="M1114">
        <v>30</v>
      </c>
      <c r="N1114">
        <v>1</v>
      </c>
      <c r="O1114">
        <v>7</v>
      </c>
      <c r="P1114">
        <v>1</v>
      </c>
      <c r="Q1114" t="s">
        <v>8</v>
      </c>
    </row>
    <row r="1115" spans="1:17">
      <c r="A1115" t="s">
        <v>970</v>
      </c>
      <c r="B1115" s="672" t="s">
        <v>965</v>
      </c>
      <c r="C1115">
        <v>0</v>
      </c>
      <c r="E1115" t="s">
        <v>1001</v>
      </c>
      <c r="H1115">
        <v>999.99900000000002</v>
      </c>
      <c r="J1115" s="1" t="s">
        <v>770</v>
      </c>
      <c r="K1115">
        <v>106369441</v>
      </c>
      <c r="L1115" s="2">
        <v>44119</v>
      </c>
      <c r="M1115">
        <v>30</v>
      </c>
      <c r="N1115">
        <v>1</v>
      </c>
      <c r="O1115">
        <v>0</v>
      </c>
      <c r="P1115">
        <v>1</v>
      </c>
      <c r="Q1115" t="s">
        <v>7</v>
      </c>
    </row>
    <row r="1116" spans="1:17">
      <c r="A1116" t="s">
        <v>970</v>
      </c>
      <c r="B1116" s="672" t="s">
        <v>965</v>
      </c>
      <c r="C1116">
        <v>0</v>
      </c>
      <c r="E1116" t="s">
        <v>989</v>
      </c>
      <c r="H1116">
        <v>999.99900000000002</v>
      </c>
      <c r="J1116" s="1" t="s">
        <v>770</v>
      </c>
      <c r="K1116">
        <v>105335592</v>
      </c>
      <c r="L1116" s="2">
        <v>43083</v>
      </c>
      <c r="M1116">
        <v>30</v>
      </c>
      <c r="N1116">
        <v>1</v>
      </c>
      <c r="O1116">
        <v>0</v>
      </c>
      <c r="P1116">
        <v>1</v>
      </c>
      <c r="Q1116" t="s">
        <v>7</v>
      </c>
    </row>
    <row r="1117" spans="1:17">
      <c r="A1117" t="s">
        <v>970</v>
      </c>
      <c r="B1117" s="672" t="s">
        <v>965</v>
      </c>
      <c r="C1117">
        <v>0</v>
      </c>
      <c r="E1117" t="s">
        <v>996</v>
      </c>
      <c r="F1117" s="674" t="s">
        <v>975</v>
      </c>
      <c r="H1117">
        <v>999.99900000000002</v>
      </c>
      <c r="J1117" s="1" t="s">
        <v>770</v>
      </c>
      <c r="K1117">
        <v>105719359</v>
      </c>
      <c r="L1117" s="2">
        <v>43458</v>
      </c>
      <c r="M1117">
        <v>30</v>
      </c>
      <c r="N1117">
        <v>1</v>
      </c>
      <c r="O1117">
        <v>8</v>
      </c>
      <c r="P1117">
        <v>1</v>
      </c>
      <c r="Q1117" t="s">
        <v>7</v>
      </c>
    </row>
    <row r="1118" spans="1:17">
      <c r="A1118" t="s">
        <v>970</v>
      </c>
      <c r="B1118" s="672" t="s">
        <v>965</v>
      </c>
      <c r="C1118">
        <v>0</v>
      </c>
      <c r="E1118" t="s">
        <v>978</v>
      </c>
      <c r="F1118" t="s">
        <v>980</v>
      </c>
      <c r="H1118">
        <v>999.99900000000002</v>
      </c>
      <c r="J1118" s="1" t="s">
        <v>770</v>
      </c>
      <c r="K1118">
        <v>107331336</v>
      </c>
      <c r="L1118" s="2">
        <v>45057</v>
      </c>
      <c r="M1118">
        <v>30</v>
      </c>
      <c r="N1118">
        <v>1</v>
      </c>
      <c r="O1118">
        <v>7</v>
      </c>
      <c r="P1118">
        <v>1</v>
      </c>
      <c r="Q1118" t="s">
        <v>7</v>
      </c>
    </row>
    <row r="1119" spans="1:17">
      <c r="A1119" t="s">
        <v>970</v>
      </c>
      <c r="B1119" s="672" t="s">
        <v>965</v>
      </c>
      <c r="C1119">
        <v>0</v>
      </c>
      <c r="E1119" t="s">
        <v>978</v>
      </c>
      <c r="F1119" t="s">
        <v>1014</v>
      </c>
      <c r="H1119">
        <v>999.99900000000002</v>
      </c>
      <c r="J1119" s="1" t="s">
        <v>770</v>
      </c>
      <c r="K1119">
        <v>108327242</v>
      </c>
      <c r="L1119" s="2">
        <v>45993</v>
      </c>
      <c r="M1119">
        <v>30</v>
      </c>
      <c r="N1119">
        <v>2</v>
      </c>
      <c r="O1119">
        <v>7</v>
      </c>
      <c r="P1119">
        <v>1</v>
      </c>
      <c r="Q1119" t="s">
        <v>7</v>
      </c>
    </row>
    <row r="1120" spans="1:17">
      <c r="A1120" t="s">
        <v>970</v>
      </c>
      <c r="B1120" s="672" t="s">
        <v>965</v>
      </c>
      <c r="C1120">
        <v>9.5000000000000001E-2</v>
      </c>
      <c r="D1120" t="s">
        <v>765</v>
      </c>
      <c r="E1120" t="s">
        <v>1005</v>
      </c>
      <c r="F1120" t="s">
        <v>981</v>
      </c>
      <c r="H1120">
        <v>999.99900000000002</v>
      </c>
      <c r="J1120" s="1" t="s">
        <v>770</v>
      </c>
      <c r="K1120">
        <v>106922899</v>
      </c>
      <c r="L1120" s="2">
        <v>44665</v>
      </c>
      <c r="M1120">
        <v>25</v>
      </c>
      <c r="N1120">
        <v>1</v>
      </c>
      <c r="O1120">
        <v>0</v>
      </c>
      <c r="P1120">
        <v>1</v>
      </c>
      <c r="Q1120" t="s">
        <v>7</v>
      </c>
    </row>
    <row r="1121" spans="1:22">
      <c r="A1121" t="s">
        <v>1021</v>
      </c>
      <c r="B1121" s="672" t="s">
        <v>965</v>
      </c>
      <c r="C1121">
        <v>0</v>
      </c>
      <c r="E1121" t="s">
        <v>1189</v>
      </c>
      <c r="F1121" t="s">
        <v>1032</v>
      </c>
      <c r="H1121">
        <v>999.99900000000002</v>
      </c>
      <c r="J1121" s="1" t="s">
        <v>770</v>
      </c>
      <c r="K1121">
        <v>108334357</v>
      </c>
      <c r="L1121" s="2">
        <v>46003</v>
      </c>
      <c r="M1121">
        <v>15</v>
      </c>
      <c r="N1121">
        <v>1</v>
      </c>
      <c r="O1121">
        <v>8</v>
      </c>
      <c r="P1121">
        <v>1</v>
      </c>
      <c r="Q1121" t="s">
        <v>3</v>
      </c>
      <c r="R1121">
        <v>35.169499999999999</v>
      </c>
      <c r="S1121">
        <v>-79.404360999999994</v>
      </c>
      <c r="T1121" t="s">
        <v>1060</v>
      </c>
      <c r="U1121" t="s">
        <v>367</v>
      </c>
      <c r="V1121">
        <v>1.4618</v>
      </c>
    </row>
    <row r="1122" spans="1:22">
      <c r="A1122" t="s">
        <v>970</v>
      </c>
      <c r="B1122" s="672" t="s">
        <v>965</v>
      </c>
      <c r="C1122">
        <v>5.0000000000000001E-3</v>
      </c>
      <c r="D1122" t="s">
        <v>756</v>
      </c>
      <c r="E1122" t="s">
        <v>1015</v>
      </c>
      <c r="F1122" t="s">
        <v>976</v>
      </c>
      <c r="H1122">
        <v>999.99900000000002</v>
      </c>
      <c r="J1122" s="1" t="s">
        <v>770</v>
      </c>
      <c r="K1122">
        <v>108396073</v>
      </c>
      <c r="L1122" s="2">
        <v>46056</v>
      </c>
      <c r="M1122">
        <v>19</v>
      </c>
      <c r="N1122">
        <v>2</v>
      </c>
      <c r="O1122">
        <v>22</v>
      </c>
      <c r="P1122">
        <v>1</v>
      </c>
      <c r="Q1122" t="s">
        <v>7</v>
      </c>
    </row>
    <row r="1123" spans="1:22">
      <c r="A1123" t="s">
        <v>1021</v>
      </c>
      <c r="B1123" s="672" t="s">
        <v>965</v>
      </c>
      <c r="C1123">
        <v>0</v>
      </c>
      <c r="E1123" t="s">
        <v>1138</v>
      </c>
      <c r="F1123" t="s">
        <v>1033</v>
      </c>
      <c r="H1123">
        <v>999.99900000000002</v>
      </c>
      <c r="J1123" s="1" t="s">
        <v>770</v>
      </c>
      <c r="K1123">
        <v>106802271</v>
      </c>
      <c r="L1123" s="2">
        <v>44470</v>
      </c>
      <c r="M1123">
        <v>30</v>
      </c>
      <c r="N1123">
        <v>1</v>
      </c>
      <c r="O1123">
        <v>7</v>
      </c>
      <c r="P1123">
        <v>4</v>
      </c>
      <c r="Q1123" t="s">
        <v>7</v>
      </c>
    </row>
    <row r="1124" spans="1:22">
      <c r="A1124" t="s">
        <v>1021</v>
      </c>
      <c r="B1124" s="672" t="s">
        <v>965</v>
      </c>
      <c r="C1124">
        <v>7.0000000000000007E-2</v>
      </c>
      <c r="D1124" t="s">
        <v>765</v>
      </c>
      <c r="E1124" t="s">
        <v>1193</v>
      </c>
      <c r="F1124" t="s">
        <v>1032</v>
      </c>
      <c r="H1124">
        <v>999.99900000000002</v>
      </c>
      <c r="J1124" s="1" t="s">
        <v>770</v>
      </c>
      <c r="K1124">
        <v>108241242</v>
      </c>
      <c r="L1124" s="2">
        <v>45922</v>
      </c>
      <c r="M1124">
        <v>30</v>
      </c>
      <c r="N1124">
        <v>1</v>
      </c>
      <c r="O1124">
        <v>7</v>
      </c>
      <c r="P1124">
        <v>1</v>
      </c>
      <c r="Q1124" t="s">
        <v>7</v>
      </c>
    </row>
    <row r="1125" spans="1:22">
      <c r="A1125" t="s">
        <v>1021</v>
      </c>
      <c r="B1125" s="672" t="s">
        <v>965</v>
      </c>
      <c r="C1125">
        <v>0</v>
      </c>
      <c r="E1125" t="s">
        <v>1157</v>
      </c>
      <c r="F1125" t="s">
        <v>1064</v>
      </c>
      <c r="H1125">
        <v>999.99900000000002</v>
      </c>
      <c r="J1125" s="1" t="s">
        <v>770</v>
      </c>
      <c r="K1125">
        <v>107046533</v>
      </c>
      <c r="L1125" s="2">
        <v>44787</v>
      </c>
      <c r="M1125">
        <v>30</v>
      </c>
      <c r="N1125">
        <v>1</v>
      </c>
      <c r="O1125">
        <v>8</v>
      </c>
      <c r="P1125">
        <v>5</v>
      </c>
      <c r="Q1125" t="s">
        <v>8</v>
      </c>
    </row>
    <row r="1126" spans="1:22">
      <c r="A1126" t="s">
        <v>1021</v>
      </c>
      <c r="B1126" s="672" t="s">
        <v>965</v>
      </c>
      <c r="C1126">
        <v>0</v>
      </c>
      <c r="E1126" t="s">
        <v>1196</v>
      </c>
      <c r="F1126" t="s">
        <v>1098</v>
      </c>
      <c r="H1126">
        <v>999.99900000000002</v>
      </c>
      <c r="J1126" s="1" t="s">
        <v>770</v>
      </c>
      <c r="K1126">
        <v>108464424</v>
      </c>
      <c r="L1126" s="2">
        <v>46125</v>
      </c>
      <c r="M1126">
        <v>21</v>
      </c>
      <c r="N1126">
        <v>1</v>
      </c>
      <c r="O1126">
        <v>9</v>
      </c>
      <c r="P1126">
        <v>1</v>
      </c>
      <c r="Q1126" t="s">
        <v>7</v>
      </c>
    </row>
    <row r="1127" spans="1:22">
      <c r="A1127" t="s">
        <v>1021</v>
      </c>
      <c r="B1127" s="672" t="s">
        <v>965</v>
      </c>
      <c r="C1127">
        <v>9.1999999999999998E-2</v>
      </c>
      <c r="D1127" t="s">
        <v>756</v>
      </c>
      <c r="E1127" t="s">
        <v>1200</v>
      </c>
      <c r="F1127" t="s">
        <v>1201</v>
      </c>
      <c r="H1127">
        <v>999.99900000000002</v>
      </c>
      <c r="J1127" s="1" t="s">
        <v>770</v>
      </c>
      <c r="K1127">
        <v>108562730</v>
      </c>
      <c r="L1127" s="2">
        <v>46221</v>
      </c>
      <c r="M1127">
        <v>21</v>
      </c>
      <c r="N1127">
        <v>1</v>
      </c>
      <c r="O1127">
        <v>0</v>
      </c>
      <c r="P1127">
        <v>1</v>
      </c>
      <c r="Q1127" t="s">
        <v>7</v>
      </c>
    </row>
    <row r="1128" spans="1:22">
      <c r="A1128" t="s">
        <v>970</v>
      </c>
      <c r="B1128" s="672" t="s">
        <v>965</v>
      </c>
      <c r="C1128">
        <v>0.02</v>
      </c>
      <c r="D1128" t="s">
        <v>756</v>
      </c>
      <c r="E1128" t="s">
        <v>999</v>
      </c>
      <c r="F1128" t="s">
        <v>971</v>
      </c>
      <c r="H1128">
        <v>999.99900000000002</v>
      </c>
      <c r="J1128" s="1" t="s">
        <v>770</v>
      </c>
      <c r="K1128">
        <v>106304131</v>
      </c>
      <c r="L1128" s="2">
        <v>44053</v>
      </c>
      <c r="M1128">
        <v>2</v>
      </c>
      <c r="N1128">
        <v>2</v>
      </c>
      <c r="O1128">
        <v>0</v>
      </c>
      <c r="P1128">
        <v>5</v>
      </c>
      <c r="Q1128" t="s">
        <v>7</v>
      </c>
    </row>
    <row r="1129" spans="1:22">
      <c r="A1129" t="s">
        <v>1021</v>
      </c>
      <c r="B1129" s="672" t="s">
        <v>965</v>
      </c>
      <c r="C1129">
        <v>0</v>
      </c>
      <c r="E1129" t="s">
        <v>1074</v>
      </c>
      <c r="F1129" t="s">
        <v>1026</v>
      </c>
      <c r="H1129">
        <v>999.99900000000002</v>
      </c>
      <c r="J1129" s="1" t="s">
        <v>770</v>
      </c>
      <c r="K1129">
        <v>105028147</v>
      </c>
      <c r="L1129" s="2">
        <v>42776</v>
      </c>
      <c r="M1129">
        <v>21</v>
      </c>
      <c r="N1129">
        <v>1</v>
      </c>
      <c r="O1129">
        <v>7</v>
      </c>
      <c r="P1129">
        <v>2</v>
      </c>
      <c r="Q1129" t="s">
        <v>7</v>
      </c>
    </row>
    <row r="1130" spans="1:22">
      <c r="A1130" t="s">
        <v>1021</v>
      </c>
      <c r="B1130" s="672" t="s">
        <v>965</v>
      </c>
      <c r="C1130">
        <v>0</v>
      </c>
      <c r="E1130" t="s">
        <v>1095</v>
      </c>
      <c r="F1130" s="672" t="s">
        <v>965</v>
      </c>
      <c r="H1130">
        <v>999.99900000000002</v>
      </c>
      <c r="J1130" s="1" t="s">
        <v>770</v>
      </c>
      <c r="K1130">
        <v>105544125</v>
      </c>
      <c r="L1130" s="2">
        <v>43294</v>
      </c>
      <c r="M1130">
        <v>23</v>
      </c>
      <c r="N1130">
        <v>1</v>
      </c>
      <c r="O1130">
        <v>7</v>
      </c>
      <c r="P1130">
        <v>4</v>
      </c>
      <c r="Q1130" t="s">
        <v>7</v>
      </c>
    </row>
    <row r="1131" spans="1:22">
      <c r="A1131" t="s">
        <v>1021</v>
      </c>
      <c r="B1131" s="672" t="s">
        <v>965</v>
      </c>
      <c r="C1131">
        <v>0</v>
      </c>
      <c r="D1131" t="s">
        <v>758</v>
      </c>
      <c r="E1131" s="674" t="s">
        <v>986</v>
      </c>
      <c r="F1131" s="674" t="s">
        <v>975</v>
      </c>
      <c r="H1131">
        <v>999.99900000000002</v>
      </c>
      <c r="J1131" s="1" t="s">
        <v>770</v>
      </c>
      <c r="K1131">
        <v>108247888</v>
      </c>
      <c r="L1131" s="2">
        <v>45929</v>
      </c>
      <c r="M1131">
        <v>28</v>
      </c>
      <c r="N1131">
        <v>2</v>
      </c>
      <c r="O1131">
        <v>0</v>
      </c>
      <c r="P1131">
        <v>1</v>
      </c>
      <c r="Q1131" t="s">
        <v>7</v>
      </c>
    </row>
    <row r="1132" spans="1:22">
      <c r="A1132" t="s">
        <v>1021</v>
      </c>
      <c r="B1132" s="672" t="s">
        <v>965</v>
      </c>
      <c r="C1132">
        <v>8.9999999999999993E-3</v>
      </c>
      <c r="D1132" t="s">
        <v>756</v>
      </c>
      <c r="E1132" s="674" t="s">
        <v>986</v>
      </c>
      <c r="F1132" s="674" t="s">
        <v>968</v>
      </c>
      <c r="H1132">
        <v>999.99900000000002</v>
      </c>
      <c r="J1132" s="1" t="s">
        <v>770</v>
      </c>
      <c r="K1132">
        <v>108566465</v>
      </c>
      <c r="L1132" s="2">
        <v>46225</v>
      </c>
      <c r="M1132">
        <v>28</v>
      </c>
      <c r="N1132">
        <v>1</v>
      </c>
      <c r="O1132">
        <v>0</v>
      </c>
      <c r="P1132">
        <v>1</v>
      </c>
      <c r="Q1132" t="s">
        <v>7</v>
      </c>
    </row>
    <row r="1133" spans="1:22">
      <c r="A1133" t="s">
        <v>1021</v>
      </c>
      <c r="B1133" s="672" t="s">
        <v>965</v>
      </c>
      <c r="C1133">
        <v>1.9E-2</v>
      </c>
      <c r="D1133" t="s">
        <v>758</v>
      </c>
      <c r="E1133" t="s">
        <v>1066</v>
      </c>
      <c r="F1133" t="s">
        <v>1052</v>
      </c>
      <c r="H1133">
        <v>999.99900000000002</v>
      </c>
      <c r="J1133" s="1" t="s">
        <v>770</v>
      </c>
      <c r="K1133">
        <v>108048728</v>
      </c>
      <c r="L1133" s="2">
        <v>45732</v>
      </c>
      <c r="M1133">
        <v>19</v>
      </c>
      <c r="N1133">
        <v>2</v>
      </c>
      <c r="O1133">
        <v>0</v>
      </c>
      <c r="P1133">
        <v>1</v>
      </c>
      <c r="Q1133" t="s">
        <v>7</v>
      </c>
    </row>
    <row r="1134" spans="1:22">
      <c r="A1134" t="s">
        <v>1021</v>
      </c>
      <c r="B1134" s="672" t="s">
        <v>965</v>
      </c>
      <c r="C1134">
        <v>0</v>
      </c>
      <c r="E1134" t="s">
        <v>1059</v>
      </c>
      <c r="F1134" t="s">
        <v>1054</v>
      </c>
      <c r="H1134">
        <v>999.99900000000002</v>
      </c>
      <c r="J1134" s="1" t="s">
        <v>770</v>
      </c>
      <c r="K1134">
        <v>107536946</v>
      </c>
      <c r="L1134" s="2">
        <v>45251</v>
      </c>
      <c r="M1134">
        <v>21</v>
      </c>
      <c r="N1134">
        <v>2</v>
      </c>
      <c r="O1134">
        <v>8</v>
      </c>
      <c r="P1134">
        <v>1</v>
      </c>
      <c r="Q1134" t="s">
        <v>7</v>
      </c>
    </row>
    <row r="1135" spans="1:22">
      <c r="A1135" t="s">
        <v>1021</v>
      </c>
      <c r="B1135" s="672" t="s">
        <v>965</v>
      </c>
      <c r="C1135">
        <v>0</v>
      </c>
      <c r="E1135" t="s">
        <v>1046</v>
      </c>
      <c r="F1135" s="674" t="s">
        <v>968</v>
      </c>
      <c r="H1135">
        <v>999.99900000000002</v>
      </c>
      <c r="J1135" s="1" t="s">
        <v>770</v>
      </c>
      <c r="K1135">
        <v>107500988</v>
      </c>
      <c r="L1135" s="2">
        <v>45223</v>
      </c>
      <c r="M1135">
        <v>23</v>
      </c>
      <c r="N1135">
        <v>1</v>
      </c>
      <c r="O1135">
        <v>8</v>
      </c>
      <c r="P1135">
        <v>1</v>
      </c>
      <c r="Q1135" t="s">
        <v>8</v>
      </c>
    </row>
    <row r="1136" spans="1:22">
      <c r="A1136" t="s">
        <v>1021</v>
      </c>
      <c r="B1136" t="s">
        <v>1087</v>
      </c>
      <c r="C1136">
        <v>0</v>
      </c>
      <c r="D1136" t="s">
        <v>763</v>
      </c>
      <c r="E1136" s="675" t="s">
        <v>966</v>
      </c>
      <c r="F1136" t="s">
        <v>1050</v>
      </c>
      <c r="H1136">
        <v>999.99900000000002</v>
      </c>
      <c r="J1136" s="1" t="s">
        <v>770</v>
      </c>
      <c r="K1136">
        <v>105465442</v>
      </c>
      <c r="L1136" s="2">
        <v>43207</v>
      </c>
      <c r="M1136">
        <v>30</v>
      </c>
      <c r="N1136">
        <v>1</v>
      </c>
      <c r="O1136">
        <v>8</v>
      </c>
      <c r="P1136">
        <v>1</v>
      </c>
      <c r="Q1136" t="s">
        <v>7</v>
      </c>
    </row>
    <row r="1137" spans="1:17">
      <c r="A1137" t="s">
        <v>1021</v>
      </c>
      <c r="B1137" t="s">
        <v>1028</v>
      </c>
      <c r="C1137">
        <v>0</v>
      </c>
      <c r="E1137" s="675" t="s">
        <v>966</v>
      </c>
      <c r="F1137" t="s">
        <v>1050</v>
      </c>
      <c r="H1137">
        <v>999.99900000000002</v>
      </c>
      <c r="J1137" s="1" t="s">
        <v>770</v>
      </c>
      <c r="K1137">
        <v>105894326</v>
      </c>
      <c r="L1137" s="2">
        <v>43613</v>
      </c>
      <c r="M1137">
        <v>24</v>
      </c>
      <c r="N1137">
        <v>1</v>
      </c>
      <c r="O1137">
        <v>7</v>
      </c>
      <c r="P1137">
        <v>1</v>
      </c>
      <c r="Q1137" t="s">
        <v>7</v>
      </c>
    </row>
    <row r="1138" spans="1:17">
      <c r="A1138" t="s">
        <v>1021</v>
      </c>
      <c r="B1138" t="s">
        <v>1028</v>
      </c>
      <c r="C1138">
        <v>0</v>
      </c>
      <c r="E1138" s="675" t="s">
        <v>966</v>
      </c>
      <c r="F1138" t="s">
        <v>1028</v>
      </c>
      <c r="H1138">
        <v>999.99900000000002</v>
      </c>
      <c r="J1138" s="1" t="s">
        <v>770</v>
      </c>
      <c r="K1138">
        <v>108429578</v>
      </c>
      <c r="L1138" s="2">
        <v>46094</v>
      </c>
      <c r="M1138">
        <v>30</v>
      </c>
      <c r="N1138">
        <v>1</v>
      </c>
      <c r="O1138">
        <v>8</v>
      </c>
      <c r="P1138">
        <v>1</v>
      </c>
      <c r="Q1138" t="s">
        <v>3</v>
      </c>
    </row>
    <row r="1139" spans="1:17">
      <c r="A1139" t="s">
        <v>1021</v>
      </c>
      <c r="B1139" t="s">
        <v>1028</v>
      </c>
      <c r="C1139">
        <v>2E-3</v>
      </c>
      <c r="D1139" t="s">
        <v>6</v>
      </c>
      <c r="E1139" s="675" t="s">
        <v>966</v>
      </c>
      <c r="F1139" t="s">
        <v>1029</v>
      </c>
      <c r="H1139">
        <v>999.99900000000002</v>
      </c>
      <c r="J1139" s="1" t="s">
        <v>770</v>
      </c>
      <c r="K1139">
        <v>107530829</v>
      </c>
      <c r="L1139" s="2">
        <v>45247</v>
      </c>
      <c r="M1139">
        <v>21</v>
      </c>
      <c r="N1139">
        <v>1</v>
      </c>
      <c r="O1139">
        <v>7</v>
      </c>
      <c r="P1139">
        <v>1</v>
      </c>
      <c r="Q1139" t="s">
        <v>3</v>
      </c>
    </row>
    <row r="1140" spans="1:17">
      <c r="A1140" t="s">
        <v>1021</v>
      </c>
      <c r="B1140" t="s">
        <v>1029</v>
      </c>
      <c r="C1140">
        <v>1.9E-2</v>
      </c>
      <c r="D1140" t="s">
        <v>756</v>
      </c>
      <c r="E1140" s="673" t="s">
        <v>967</v>
      </c>
      <c r="F1140" t="s">
        <v>1049</v>
      </c>
      <c r="H1140">
        <v>999.99900000000002</v>
      </c>
      <c r="J1140" s="1" t="s">
        <v>770</v>
      </c>
      <c r="K1140">
        <v>108479797</v>
      </c>
      <c r="L1140" s="2">
        <v>46140</v>
      </c>
      <c r="M1140">
        <v>19</v>
      </c>
      <c r="N1140">
        <v>1</v>
      </c>
      <c r="O1140">
        <v>0</v>
      </c>
      <c r="P1140">
        <v>1</v>
      </c>
      <c r="Q1140" t="s">
        <v>7</v>
      </c>
    </row>
    <row r="1141" spans="1:17">
      <c r="A1141" t="s">
        <v>1021</v>
      </c>
      <c r="B1141" t="s">
        <v>1029</v>
      </c>
      <c r="C1141">
        <v>1.9E-2</v>
      </c>
      <c r="D1141" t="s">
        <v>756</v>
      </c>
      <c r="E1141" s="673" t="s">
        <v>967</v>
      </c>
      <c r="F1141" t="s">
        <v>1164</v>
      </c>
      <c r="H1141">
        <v>999.99900000000002</v>
      </c>
      <c r="J1141" s="1" t="s">
        <v>770</v>
      </c>
      <c r="K1141">
        <v>108474754</v>
      </c>
      <c r="L1141" s="2">
        <v>46134</v>
      </c>
      <c r="M1141">
        <v>19</v>
      </c>
      <c r="N1141">
        <v>1</v>
      </c>
      <c r="O1141">
        <v>0</v>
      </c>
      <c r="P1141">
        <v>1</v>
      </c>
      <c r="Q1141" t="s">
        <v>7</v>
      </c>
    </row>
    <row r="1142" spans="1:17">
      <c r="A1142" t="s">
        <v>1021</v>
      </c>
      <c r="B1142" t="s">
        <v>1029</v>
      </c>
      <c r="C1142">
        <v>1.4E-2</v>
      </c>
      <c r="D1142" t="s">
        <v>756</v>
      </c>
      <c r="E1142" s="673" t="s">
        <v>967</v>
      </c>
      <c r="F1142" t="s">
        <v>1164</v>
      </c>
      <c r="H1142">
        <v>999.99900000000002</v>
      </c>
      <c r="J1142" s="1" t="s">
        <v>770</v>
      </c>
      <c r="K1142">
        <v>108550636</v>
      </c>
      <c r="L1142" s="2">
        <v>46207</v>
      </c>
      <c r="M1142">
        <v>19</v>
      </c>
      <c r="N1142">
        <v>1</v>
      </c>
      <c r="O1142">
        <v>25</v>
      </c>
      <c r="P1142">
        <v>1</v>
      </c>
      <c r="Q1142" t="s">
        <v>7</v>
      </c>
    </row>
    <row r="1143" spans="1:17">
      <c r="A1143" t="s">
        <v>1021</v>
      </c>
      <c r="B1143" t="s">
        <v>1198</v>
      </c>
      <c r="C1143">
        <v>0</v>
      </c>
      <c r="E1143" s="672" t="s">
        <v>965</v>
      </c>
      <c r="F1143" s="674" t="s">
        <v>968</v>
      </c>
      <c r="H1143">
        <v>999.99900000000002</v>
      </c>
      <c r="J1143" s="1" t="s">
        <v>770</v>
      </c>
      <c r="K1143">
        <v>108606538</v>
      </c>
      <c r="L1143" s="2">
        <v>46265</v>
      </c>
      <c r="M1143">
        <v>28</v>
      </c>
      <c r="N1143">
        <v>1</v>
      </c>
      <c r="O1143">
        <v>4</v>
      </c>
      <c r="P1143">
        <v>1</v>
      </c>
      <c r="Q1143" t="s">
        <v>7</v>
      </c>
    </row>
    <row r="1144" spans="1:17">
      <c r="A1144" t="s">
        <v>1021</v>
      </c>
      <c r="B1144" t="s">
        <v>1047</v>
      </c>
      <c r="C1144">
        <v>1.4E-2</v>
      </c>
      <c r="D1144" t="s">
        <v>757</v>
      </c>
      <c r="E1144" s="672" t="s">
        <v>965</v>
      </c>
      <c r="F1144" s="674" t="s">
        <v>968</v>
      </c>
      <c r="H1144">
        <v>999.99900000000002</v>
      </c>
      <c r="J1144" s="1" t="s">
        <v>770</v>
      </c>
      <c r="K1144">
        <v>108173169</v>
      </c>
      <c r="L1144" s="2">
        <v>45836</v>
      </c>
      <c r="M1144">
        <v>19</v>
      </c>
      <c r="N1144">
        <v>1</v>
      </c>
      <c r="O1144">
        <v>4</v>
      </c>
      <c r="P1144">
        <v>4</v>
      </c>
      <c r="Q1144" t="s">
        <v>7</v>
      </c>
    </row>
    <row r="1145" spans="1:17">
      <c r="A1145" t="s">
        <v>1021</v>
      </c>
      <c r="B1145" t="s">
        <v>1114</v>
      </c>
      <c r="C1145">
        <v>0</v>
      </c>
      <c r="D1145" t="s">
        <v>758</v>
      </c>
      <c r="E1145" s="673" t="s">
        <v>967</v>
      </c>
      <c r="F1145" s="674" t="s">
        <v>968</v>
      </c>
      <c r="H1145">
        <v>999.99900000000002</v>
      </c>
      <c r="J1145" s="1" t="s">
        <v>770</v>
      </c>
      <c r="K1145">
        <v>106064195</v>
      </c>
      <c r="L1145" s="2">
        <v>43767</v>
      </c>
      <c r="M1145">
        <v>0</v>
      </c>
      <c r="N1145">
        <v>1</v>
      </c>
      <c r="O1145">
        <v>0</v>
      </c>
      <c r="P1145">
        <v>1</v>
      </c>
    </row>
    <row r="1146" spans="1:17">
      <c r="A1146" t="s">
        <v>1021</v>
      </c>
      <c r="B1146" s="674" t="s">
        <v>1044</v>
      </c>
      <c r="C1146">
        <v>1.9E-2</v>
      </c>
      <c r="D1146" t="s">
        <v>757</v>
      </c>
      <c r="E1146" s="672" t="s">
        <v>965</v>
      </c>
      <c r="F1146" s="673" t="s">
        <v>967</v>
      </c>
      <c r="H1146">
        <v>999.99900000000002</v>
      </c>
      <c r="J1146" s="1" t="s">
        <v>770</v>
      </c>
      <c r="K1146">
        <v>108170634</v>
      </c>
      <c r="L1146" s="2">
        <v>45850</v>
      </c>
      <c r="M1146">
        <v>20</v>
      </c>
      <c r="N1146">
        <v>2</v>
      </c>
      <c r="O1146">
        <v>0</v>
      </c>
      <c r="P1146">
        <v>1</v>
      </c>
      <c r="Q1146" t="s">
        <v>7</v>
      </c>
    </row>
    <row r="1147" spans="1:17">
      <c r="A1147" t="s">
        <v>1021</v>
      </c>
      <c r="B1147" s="674" t="s">
        <v>1044</v>
      </c>
      <c r="C1147">
        <v>1.9E-2</v>
      </c>
      <c r="D1147" t="s">
        <v>757</v>
      </c>
      <c r="E1147" s="672" t="s">
        <v>965</v>
      </c>
      <c r="F1147" s="673" t="s">
        <v>967</v>
      </c>
      <c r="H1147">
        <v>999.99900000000002</v>
      </c>
      <c r="J1147" s="1" t="s">
        <v>770</v>
      </c>
      <c r="K1147">
        <v>107625733</v>
      </c>
      <c r="L1147" s="2">
        <v>45337</v>
      </c>
      <c r="M1147">
        <v>32</v>
      </c>
      <c r="N1147">
        <v>1</v>
      </c>
      <c r="O1147">
        <v>0</v>
      </c>
      <c r="P1147">
        <v>1</v>
      </c>
      <c r="Q1147" t="s">
        <v>7</v>
      </c>
    </row>
    <row r="1148" spans="1:17">
      <c r="A1148" t="s">
        <v>1021</v>
      </c>
      <c r="B1148" s="674" t="s">
        <v>1044</v>
      </c>
      <c r="C1148">
        <v>0</v>
      </c>
      <c r="E1148" s="672" t="s">
        <v>965</v>
      </c>
      <c r="F1148" s="672" t="s">
        <v>965</v>
      </c>
      <c r="H1148">
        <v>999.99900000000002</v>
      </c>
      <c r="J1148" s="1" t="s">
        <v>770</v>
      </c>
      <c r="K1148">
        <v>105026732</v>
      </c>
      <c r="L1148" s="2">
        <v>42788</v>
      </c>
      <c r="M1148">
        <v>30</v>
      </c>
      <c r="N1148">
        <v>1</v>
      </c>
      <c r="O1148">
        <v>25</v>
      </c>
      <c r="P1148">
        <v>1</v>
      </c>
      <c r="Q1148" t="s">
        <v>3</v>
      </c>
    </row>
    <row r="1149" spans="1:17">
      <c r="A1149" t="s">
        <v>1021</v>
      </c>
      <c r="B1149" s="674" t="s">
        <v>1044</v>
      </c>
      <c r="C1149">
        <v>0</v>
      </c>
      <c r="D1149" t="s">
        <v>757</v>
      </c>
      <c r="E1149" s="672" t="s">
        <v>965</v>
      </c>
      <c r="F1149" t="s">
        <v>1019</v>
      </c>
      <c r="H1149">
        <v>999.99900000000002</v>
      </c>
      <c r="J1149" s="1" t="s">
        <v>770</v>
      </c>
      <c r="K1149">
        <v>108048150</v>
      </c>
      <c r="L1149" s="2">
        <v>45730</v>
      </c>
      <c r="M1149">
        <v>30</v>
      </c>
      <c r="N1149">
        <v>1</v>
      </c>
      <c r="O1149">
        <v>0</v>
      </c>
      <c r="P1149">
        <v>1</v>
      </c>
      <c r="Q1149" t="s">
        <v>7</v>
      </c>
    </row>
    <row r="1150" spans="1:17">
      <c r="A1150" t="s">
        <v>1021</v>
      </c>
      <c r="B1150" s="674" t="s">
        <v>1044</v>
      </c>
      <c r="C1150">
        <v>0.01</v>
      </c>
      <c r="D1150" t="s">
        <v>757</v>
      </c>
      <c r="E1150" s="672" t="s">
        <v>965</v>
      </c>
      <c r="H1150">
        <v>999.99900000000002</v>
      </c>
      <c r="J1150" s="1" t="s">
        <v>770</v>
      </c>
      <c r="K1150">
        <v>107288112</v>
      </c>
      <c r="L1150" s="2">
        <v>45016</v>
      </c>
      <c r="M1150">
        <v>14</v>
      </c>
      <c r="N1150">
        <v>1</v>
      </c>
      <c r="O1150">
        <v>4</v>
      </c>
      <c r="P1150">
        <v>1</v>
      </c>
      <c r="Q1150" t="s">
        <v>3</v>
      </c>
    </row>
    <row r="1151" spans="1:17">
      <c r="A1151" t="s">
        <v>1021</v>
      </c>
      <c r="B1151" s="674" t="s">
        <v>1044</v>
      </c>
      <c r="C1151">
        <v>1.9E-2</v>
      </c>
      <c r="D1151" t="s">
        <v>757</v>
      </c>
      <c r="E1151" s="672" t="s">
        <v>965</v>
      </c>
      <c r="H1151">
        <v>999.99900000000002</v>
      </c>
      <c r="J1151" s="1" t="s">
        <v>770</v>
      </c>
      <c r="K1151">
        <v>107596371</v>
      </c>
      <c r="L1151" s="2">
        <v>45308</v>
      </c>
      <c r="M1151">
        <v>19</v>
      </c>
      <c r="N1151">
        <v>1</v>
      </c>
      <c r="O1151">
        <v>0</v>
      </c>
      <c r="P1151">
        <v>1</v>
      </c>
      <c r="Q1151" t="s">
        <v>7</v>
      </c>
    </row>
    <row r="1152" spans="1:17">
      <c r="A1152" t="s">
        <v>1021</v>
      </c>
      <c r="B1152" s="674" t="s">
        <v>1044</v>
      </c>
      <c r="C1152">
        <v>0.01</v>
      </c>
      <c r="D1152" t="s">
        <v>757</v>
      </c>
      <c r="E1152" s="672" t="s">
        <v>965</v>
      </c>
      <c r="H1152">
        <v>999.99900000000002</v>
      </c>
      <c r="J1152" s="1" t="s">
        <v>770</v>
      </c>
      <c r="K1152">
        <v>107592517</v>
      </c>
      <c r="L1152" s="2">
        <v>45302</v>
      </c>
      <c r="M1152">
        <v>20</v>
      </c>
      <c r="N1152">
        <v>1</v>
      </c>
      <c r="O1152">
        <v>0</v>
      </c>
      <c r="P1152">
        <v>1</v>
      </c>
      <c r="Q1152" t="s">
        <v>7</v>
      </c>
    </row>
    <row r="1153" spans="1:17">
      <c r="A1153" t="s">
        <v>1021</v>
      </c>
      <c r="B1153" t="s">
        <v>1065</v>
      </c>
      <c r="C1153">
        <v>0</v>
      </c>
      <c r="E1153" s="672" t="s">
        <v>965</v>
      </c>
      <c r="H1153">
        <v>999.99900000000002</v>
      </c>
      <c r="J1153" s="1" t="s">
        <v>770</v>
      </c>
      <c r="K1153">
        <v>107213554</v>
      </c>
      <c r="L1153" s="2">
        <v>44942</v>
      </c>
      <c r="M1153">
        <v>20</v>
      </c>
      <c r="N1153">
        <v>1</v>
      </c>
      <c r="O1153">
        <v>0</v>
      </c>
      <c r="P1153">
        <v>1</v>
      </c>
      <c r="Q1153" t="s">
        <v>7</v>
      </c>
    </row>
    <row r="1154" spans="1:17">
      <c r="A1154" t="s">
        <v>1021</v>
      </c>
      <c r="B1154" s="672" t="s">
        <v>1150</v>
      </c>
      <c r="C1154">
        <v>8.9999999999999993E-3</v>
      </c>
      <c r="D1154" t="s">
        <v>6</v>
      </c>
      <c r="E1154" s="672" t="s">
        <v>965</v>
      </c>
      <c r="F1154" t="s">
        <v>1035</v>
      </c>
      <c r="H1154">
        <v>999.99900000000002</v>
      </c>
      <c r="J1154" s="1" t="s">
        <v>770</v>
      </c>
      <c r="K1154">
        <v>107847002</v>
      </c>
      <c r="L1154" s="2">
        <v>45546</v>
      </c>
      <c r="M1154">
        <v>20</v>
      </c>
      <c r="N1154">
        <v>1</v>
      </c>
      <c r="O1154">
        <v>0</v>
      </c>
      <c r="P1154">
        <v>1</v>
      </c>
    </row>
    <row r="1155" spans="1:17">
      <c r="A1155" t="s">
        <v>1021</v>
      </c>
      <c r="B1155" s="672" t="s">
        <v>1150</v>
      </c>
      <c r="C1155">
        <v>2.7E-2</v>
      </c>
      <c r="D1155" t="s">
        <v>6</v>
      </c>
      <c r="E1155" s="672" t="s">
        <v>965</v>
      </c>
      <c r="F1155" t="s">
        <v>1035</v>
      </c>
      <c r="H1155">
        <v>999.99900000000002</v>
      </c>
      <c r="J1155" s="1" t="s">
        <v>770</v>
      </c>
      <c r="K1155">
        <v>107330022</v>
      </c>
      <c r="L1155" s="2">
        <v>45056</v>
      </c>
      <c r="M1155">
        <v>31</v>
      </c>
      <c r="N1155">
        <v>1</v>
      </c>
      <c r="O1155">
        <v>0</v>
      </c>
      <c r="P1155">
        <v>1</v>
      </c>
      <c r="Q1155" t="s">
        <v>7</v>
      </c>
    </row>
    <row r="1156" spans="1:17">
      <c r="A1156" t="s">
        <v>1021</v>
      </c>
      <c r="B1156" s="672" t="s">
        <v>1150</v>
      </c>
      <c r="C1156">
        <v>5.0000000000000001E-3</v>
      </c>
      <c r="D1156" t="s">
        <v>6</v>
      </c>
      <c r="E1156" s="672" t="s">
        <v>965</v>
      </c>
      <c r="H1156">
        <v>999.99900000000002</v>
      </c>
      <c r="J1156" s="1" t="s">
        <v>770</v>
      </c>
      <c r="K1156">
        <v>107872333</v>
      </c>
      <c r="L1156" s="2">
        <v>45562</v>
      </c>
      <c r="M1156">
        <v>20</v>
      </c>
      <c r="N1156">
        <v>2</v>
      </c>
      <c r="O1156">
        <v>0</v>
      </c>
      <c r="P1156">
        <v>1</v>
      </c>
    </row>
    <row r="1157" spans="1:17">
      <c r="A1157" t="s">
        <v>1021</v>
      </c>
      <c r="B1157" s="672" t="s">
        <v>1150</v>
      </c>
      <c r="C1157">
        <v>4.0000000000000001E-3</v>
      </c>
      <c r="D1157" t="s">
        <v>6</v>
      </c>
      <c r="E1157" s="672" t="s">
        <v>965</v>
      </c>
      <c r="H1157">
        <v>999.99900000000002</v>
      </c>
      <c r="J1157" s="1" t="s">
        <v>770</v>
      </c>
      <c r="K1157">
        <v>108586879</v>
      </c>
      <c r="L1157" s="2">
        <v>46245</v>
      </c>
      <c r="M1157">
        <v>20</v>
      </c>
      <c r="N1157">
        <v>1</v>
      </c>
      <c r="O1157">
        <v>0</v>
      </c>
      <c r="P1157">
        <v>1</v>
      </c>
    </row>
    <row r="1158" spans="1:17">
      <c r="A1158" t="s">
        <v>1021</v>
      </c>
      <c r="B1158" s="673" t="s">
        <v>1078</v>
      </c>
      <c r="C1158">
        <v>1.9E-2</v>
      </c>
      <c r="D1158" t="s">
        <v>756</v>
      </c>
      <c r="E1158" s="673" t="s">
        <v>967</v>
      </c>
      <c r="F1158" s="675" t="s">
        <v>1018</v>
      </c>
      <c r="H1158">
        <v>999.99900000000002</v>
      </c>
      <c r="J1158" s="1" t="s">
        <v>770</v>
      </c>
      <c r="K1158">
        <v>105277904</v>
      </c>
      <c r="L1158" s="2">
        <v>43033</v>
      </c>
      <c r="M1158">
        <v>21</v>
      </c>
      <c r="N1158">
        <v>1</v>
      </c>
      <c r="O1158">
        <v>0</v>
      </c>
      <c r="P1158">
        <v>4</v>
      </c>
      <c r="Q1158" t="s">
        <v>7</v>
      </c>
    </row>
    <row r="1159" spans="1:17">
      <c r="A1159" t="s">
        <v>1021</v>
      </c>
      <c r="B1159" s="673" t="s">
        <v>1121</v>
      </c>
      <c r="C1159">
        <v>4.0000000000000001E-3</v>
      </c>
      <c r="D1159" t="s">
        <v>756</v>
      </c>
      <c r="E1159" s="673" t="s">
        <v>967</v>
      </c>
      <c r="F1159" s="675" t="s">
        <v>1020</v>
      </c>
      <c r="H1159">
        <v>999.99900000000002</v>
      </c>
      <c r="J1159" s="1" t="s">
        <v>770</v>
      </c>
      <c r="K1159">
        <v>106125010</v>
      </c>
      <c r="L1159" s="2">
        <v>43808</v>
      </c>
      <c r="M1159">
        <v>24</v>
      </c>
      <c r="N1159">
        <v>1</v>
      </c>
      <c r="O1159">
        <v>8</v>
      </c>
      <c r="P1159">
        <v>1</v>
      </c>
      <c r="Q1159" t="s">
        <v>7</v>
      </c>
    </row>
    <row r="1160" spans="1:17">
      <c r="A1160" t="s">
        <v>1021</v>
      </c>
      <c r="B1160" s="673" t="s">
        <v>1169</v>
      </c>
      <c r="C1160">
        <v>0</v>
      </c>
      <c r="E1160" s="673" t="s">
        <v>967</v>
      </c>
      <c r="F1160" s="672" t="s">
        <v>965</v>
      </c>
      <c r="H1160">
        <v>999.99900000000002</v>
      </c>
      <c r="J1160" s="1" t="s">
        <v>770</v>
      </c>
      <c r="K1160">
        <v>107453616</v>
      </c>
      <c r="L1160" s="2">
        <v>45180</v>
      </c>
      <c r="M1160">
        <v>23</v>
      </c>
      <c r="N1160">
        <v>1</v>
      </c>
      <c r="O1160">
        <v>0</v>
      </c>
      <c r="P1160">
        <v>1</v>
      </c>
      <c r="Q1160" t="s">
        <v>7</v>
      </c>
    </row>
    <row r="1161" spans="1:17">
      <c r="A1161" t="s">
        <v>1021</v>
      </c>
      <c r="B1161" s="672" t="s">
        <v>1112</v>
      </c>
      <c r="C1161">
        <v>8.9999999999999993E-3</v>
      </c>
      <c r="D1161" t="s">
        <v>757</v>
      </c>
      <c r="E1161" s="672" t="s">
        <v>965</v>
      </c>
      <c r="F1161" t="s">
        <v>1033</v>
      </c>
      <c r="H1161">
        <v>999.99900000000002</v>
      </c>
      <c r="J1161" s="1" t="s">
        <v>770</v>
      </c>
      <c r="K1161">
        <v>105864806</v>
      </c>
      <c r="L1161" s="2">
        <v>43571</v>
      </c>
      <c r="M1161">
        <v>30</v>
      </c>
      <c r="N1161">
        <v>1</v>
      </c>
      <c r="O1161">
        <v>0</v>
      </c>
      <c r="P1161">
        <v>1</v>
      </c>
      <c r="Q1161" t="s">
        <v>7</v>
      </c>
    </row>
    <row r="1162" spans="1:17">
      <c r="A1162" t="s">
        <v>1021</v>
      </c>
      <c r="B1162" s="672" t="s">
        <v>1112</v>
      </c>
      <c r="C1162">
        <v>2.8000000000000001E-2</v>
      </c>
      <c r="D1162" t="s">
        <v>757</v>
      </c>
      <c r="E1162" s="672" t="s">
        <v>965</v>
      </c>
      <c r="F1162" t="s">
        <v>1071</v>
      </c>
      <c r="H1162">
        <v>999.99900000000002</v>
      </c>
      <c r="J1162" s="1" t="s">
        <v>770</v>
      </c>
      <c r="K1162">
        <v>107267751</v>
      </c>
      <c r="L1162" s="2">
        <v>44994</v>
      </c>
      <c r="M1162">
        <v>20</v>
      </c>
      <c r="N1162">
        <v>1</v>
      </c>
      <c r="O1162">
        <v>0</v>
      </c>
      <c r="P1162">
        <v>1</v>
      </c>
      <c r="Q1162" t="s">
        <v>7</v>
      </c>
    </row>
    <row r="1163" spans="1:17">
      <c r="A1163" t="s">
        <v>1021</v>
      </c>
      <c r="B1163" s="674" t="s">
        <v>1184</v>
      </c>
      <c r="C1163">
        <v>1.9E-2</v>
      </c>
      <c r="D1163" t="s">
        <v>765</v>
      </c>
      <c r="E1163" s="672" t="s">
        <v>965</v>
      </c>
      <c r="F1163" s="674" t="s">
        <v>968</v>
      </c>
      <c r="H1163">
        <v>999.99900000000002</v>
      </c>
      <c r="J1163" s="1" t="s">
        <v>770</v>
      </c>
      <c r="K1163">
        <v>108237366</v>
      </c>
      <c r="L1163" s="2">
        <v>45920</v>
      </c>
      <c r="M1163">
        <v>20</v>
      </c>
      <c r="N1163">
        <v>1</v>
      </c>
      <c r="O1163">
        <v>0</v>
      </c>
      <c r="P1163">
        <v>1</v>
      </c>
    </row>
    <row r="1164" spans="1:17">
      <c r="A1164" t="s">
        <v>1021</v>
      </c>
      <c r="B1164" s="672" t="s">
        <v>1188</v>
      </c>
      <c r="C1164">
        <v>1.9E-2</v>
      </c>
      <c r="D1164" t="s">
        <v>757</v>
      </c>
      <c r="E1164" s="672" t="s">
        <v>965</v>
      </c>
      <c r="F1164" s="675" t="s">
        <v>1018</v>
      </c>
      <c r="H1164">
        <v>999.99900000000002</v>
      </c>
      <c r="J1164" s="1" t="s">
        <v>770</v>
      </c>
      <c r="K1164">
        <v>108260003</v>
      </c>
      <c r="L1164" s="2">
        <v>45938</v>
      </c>
      <c r="M1164">
        <v>20</v>
      </c>
      <c r="N1164">
        <v>1</v>
      </c>
      <c r="O1164">
        <v>0</v>
      </c>
      <c r="P1164">
        <v>1</v>
      </c>
    </row>
    <row r="1165" spans="1:17">
      <c r="A1165" t="s">
        <v>1021</v>
      </c>
      <c r="B1165" s="672" t="s">
        <v>1202</v>
      </c>
      <c r="C1165">
        <v>1.4999999999999999E-2</v>
      </c>
      <c r="D1165" t="s">
        <v>756</v>
      </c>
      <c r="E1165" s="673" t="s">
        <v>967</v>
      </c>
      <c r="F1165" s="672" t="s">
        <v>965</v>
      </c>
      <c r="H1165">
        <v>999.99900000000002</v>
      </c>
      <c r="J1165" s="1" t="s">
        <v>770</v>
      </c>
      <c r="K1165">
        <v>108438255</v>
      </c>
      <c r="L1165" s="2">
        <v>46102</v>
      </c>
      <c r="M1165">
        <v>31</v>
      </c>
      <c r="N1165">
        <v>1</v>
      </c>
      <c r="O1165">
        <v>4</v>
      </c>
      <c r="P1165">
        <v>1</v>
      </c>
      <c r="Q1165" t="s">
        <v>7</v>
      </c>
    </row>
    <row r="1166" spans="1:17">
      <c r="A1166" t="s">
        <v>1021</v>
      </c>
      <c r="B1166" s="672" t="s">
        <v>1057</v>
      </c>
      <c r="C1166">
        <v>8.0000000000000002E-3</v>
      </c>
      <c r="D1166" t="s">
        <v>756</v>
      </c>
      <c r="E1166" s="673" t="s">
        <v>967</v>
      </c>
      <c r="F1166" s="672" t="s">
        <v>965</v>
      </c>
      <c r="H1166">
        <v>999.99900000000002</v>
      </c>
      <c r="J1166" s="1" t="s">
        <v>770</v>
      </c>
      <c r="K1166">
        <v>105056691</v>
      </c>
      <c r="L1166" s="2">
        <v>42819</v>
      </c>
      <c r="M1166">
        <v>30</v>
      </c>
      <c r="N1166">
        <v>1</v>
      </c>
      <c r="O1166">
        <v>4</v>
      </c>
      <c r="P1166">
        <v>4</v>
      </c>
      <c r="Q1166" t="s">
        <v>7</v>
      </c>
    </row>
    <row r="1167" spans="1:17">
      <c r="A1167" t="s">
        <v>1021</v>
      </c>
      <c r="B1167" s="672" t="s">
        <v>1057</v>
      </c>
      <c r="C1167">
        <v>1.9E-2</v>
      </c>
      <c r="D1167" t="s">
        <v>756</v>
      </c>
      <c r="E1167" s="673" t="s">
        <v>967</v>
      </c>
      <c r="F1167" s="672" t="s">
        <v>965</v>
      </c>
      <c r="H1167">
        <v>999.99900000000002</v>
      </c>
      <c r="J1167" s="1" t="s">
        <v>770</v>
      </c>
      <c r="K1167">
        <v>107834460</v>
      </c>
      <c r="L1167" s="2">
        <v>45534</v>
      </c>
      <c r="M1167">
        <v>30</v>
      </c>
      <c r="N1167">
        <v>1</v>
      </c>
      <c r="O1167">
        <v>4</v>
      </c>
      <c r="P1167">
        <v>1</v>
      </c>
      <c r="Q1167" t="s">
        <v>7</v>
      </c>
    </row>
    <row r="1168" spans="1:17">
      <c r="A1168" t="s">
        <v>1021</v>
      </c>
      <c r="B1168" s="672" t="s">
        <v>1057</v>
      </c>
      <c r="C1168">
        <v>1.4999999999999999E-2</v>
      </c>
      <c r="D1168" t="s">
        <v>756</v>
      </c>
      <c r="E1168" s="673" t="s">
        <v>967</v>
      </c>
      <c r="F1168" s="675" t="s">
        <v>1020</v>
      </c>
      <c r="H1168">
        <v>999.99900000000002</v>
      </c>
      <c r="J1168" s="1" t="s">
        <v>770</v>
      </c>
      <c r="K1168">
        <v>106578176</v>
      </c>
      <c r="L1168" s="2">
        <v>44280</v>
      </c>
      <c r="M1168">
        <v>19</v>
      </c>
      <c r="N1168">
        <v>1</v>
      </c>
      <c r="O1168">
        <v>4</v>
      </c>
      <c r="P1168">
        <v>1</v>
      </c>
      <c r="Q1168" t="s">
        <v>7</v>
      </c>
    </row>
    <row r="1169" spans="1:17">
      <c r="A1169" t="s">
        <v>1021</v>
      </c>
      <c r="B1169" s="672" t="s">
        <v>1057</v>
      </c>
      <c r="C1169">
        <v>1.9E-2</v>
      </c>
      <c r="D1169" t="s">
        <v>757</v>
      </c>
      <c r="E1169" s="672" t="s">
        <v>965</v>
      </c>
      <c r="F1169" s="675" t="s">
        <v>1018</v>
      </c>
      <c r="H1169">
        <v>999.99900000000002</v>
      </c>
      <c r="J1169" s="1" t="s">
        <v>770</v>
      </c>
      <c r="K1169">
        <v>108104074</v>
      </c>
      <c r="L1169" s="2">
        <v>45785</v>
      </c>
      <c r="M1169">
        <v>31</v>
      </c>
      <c r="N1169">
        <v>1</v>
      </c>
      <c r="O1169">
        <v>0</v>
      </c>
      <c r="P1169">
        <v>1</v>
      </c>
      <c r="Q1169" t="s">
        <v>7</v>
      </c>
    </row>
    <row r="1170" spans="1:17">
      <c r="A1170" t="s">
        <v>1021</v>
      </c>
      <c r="B1170" s="673" t="s">
        <v>1115</v>
      </c>
      <c r="C1170">
        <v>8.0000000000000002E-3</v>
      </c>
      <c r="D1170" t="s">
        <v>758</v>
      </c>
      <c r="E1170" s="673" t="s">
        <v>963</v>
      </c>
      <c r="F1170" s="672" t="s">
        <v>965</v>
      </c>
      <c r="H1170">
        <v>999.99900000000002</v>
      </c>
      <c r="J1170" s="1" t="s">
        <v>770</v>
      </c>
      <c r="K1170">
        <v>108329663</v>
      </c>
      <c r="L1170" s="2">
        <v>45996</v>
      </c>
      <c r="M1170">
        <v>20</v>
      </c>
      <c r="N1170">
        <v>2</v>
      </c>
      <c r="O1170">
        <v>0</v>
      </c>
      <c r="P1170">
        <v>1</v>
      </c>
      <c r="Q1170" t="s">
        <v>7</v>
      </c>
    </row>
    <row r="1171" spans="1:17">
      <c r="A1171" t="s">
        <v>1021</v>
      </c>
      <c r="B1171" s="673" t="s">
        <v>1115</v>
      </c>
      <c r="C1171">
        <v>1.4999999999999999E-2</v>
      </c>
      <c r="D1171" t="s">
        <v>757</v>
      </c>
      <c r="E1171" s="673" t="s">
        <v>963</v>
      </c>
      <c r="F1171" s="672" t="s">
        <v>965</v>
      </c>
      <c r="H1171">
        <v>999.99900000000002</v>
      </c>
      <c r="J1171" s="1" t="s">
        <v>770</v>
      </c>
      <c r="K1171">
        <v>106022000</v>
      </c>
      <c r="L1171" s="2">
        <v>43724</v>
      </c>
      <c r="M1171">
        <v>30</v>
      </c>
      <c r="N1171">
        <v>1</v>
      </c>
      <c r="O1171">
        <v>4</v>
      </c>
      <c r="P1171">
        <v>1</v>
      </c>
      <c r="Q1171" t="s">
        <v>7</v>
      </c>
    </row>
    <row r="1172" spans="1:17">
      <c r="A1172" t="s">
        <v>1021</v>
      </c>
      <c r="B1172" s="673" t="s">
        <v>1115</v>
      </c>
      <c r="C1172">
        <v>0</v>
      </c>
      <c r="D1172" t="s">
        <v>6</v>
      </c>
      <c r="E1172" s="672" t="s">
        <v>965</v>
      </c>
      <c r="H1172">
        <v>999.99900000000002</v>
      </c>
      <c r="J1172" s="1" t="s">
        <v>770</v>
      </c>
      <c r="K1172">
        <v>107155615</v>
      </c>
      <c r="L1172" s="2">
        <v>44886</v>
      </c>
      <c r="M1172">
        <v>20</v>
      </c>
      <c r="N1172">
        <v>1</v>
      </c>
      <c r="O1172">
        <v>0</v>
      </c>
      <c r="P1172">
        <v>1</v>
      </c>
      <c r="Q1172" t="s">
        <v>7</v>
      </c>
    </row>
    <row r="1173" spans="1:17">
      <c r="A1173" t="s">
        <v>1021</v>
      </c>
      <c r="B1173" s="673" t="s">
        <v>1194</v>
      </c>
      <c r="C1173">
        <v>2E-3</v>
      </c>
      <c r="D1173" t="s">
        <v>758</v>
      </c>
      <c r="E1173" s="673" t="s">
        <v>963</v>
      </c>
      <c r="F1173" s="672" t="s">
        <v>965</v>
      </c>
      <c r="H1173">
        <v>999.99900000000002</v>
      </c>
      <c r="J1173" s="1" t="s">
        <v>770</v>
      </c>
      <c r="K1173">
        <v>108365811</v>
      </c>
      <c r="L1173" s="2">
        <v>45970</v>
      </c>
      <c r="M1173">
        <v>20</v>
      </c>
      <c r="N1173">
        <v>1</v>
      </c>
      <c r="O1173">
        <v>0</v>
      </c>
      <c r="P1173">
        <v>1</v>
      </c>
    </row>
    <row r="1174" spans="1:17">
      <c r="A1174" t="s">
        <v>970</v>
      </c>
      <c r="B1174" s="672" t="s">
        <v>1000</v>
      </c>
      <c r="C1174">
        <v>1.9E-2</v>
      </c>
      <c r="D1174" t="s">
        <v>6</v>
      </c>
      <c r="E1174" s="672" t="s">
        <v>965</v>
      </c>
      <c r="F1174" t="s">
        <v>978</v>
      </c>
      <c r="H1174">
        <v>999.99900000000002</v>
      </c>
      <c r="J1174" s="1" t="s">
        <v>770</v>
      </c>
      <c r="K1174">
        <v>106327141</v>
      </c>
      <c r="L1174" s="2">
        <v>44077</v>
      </c>
      <c r="M1174">
        <v>19</v>
      </c>
      <c r="N1174">
        <v>1</v>
      </c>
      <c r="O1174">
        <v>5</v>
      </c>
      <c r="P1174">
        <v>4</v>
      </c>
      <c r="Q1174" t="s">
        <v>7</v>
      </c>
    </row>
    <row r="1175" spans="1:17">
      <c r="A1175" t="s">
        <v>1021</v>
      </c>
      <c r="B1175" s="672" t="s">
        <v>1181</v>
      </c>
      <c r="C1175">
        <v>2.8000000000000001E-2</v>
      </c>
      <c r="D1175" t="s">
        <v>6</v>
      </c>
      <c r="E1175" s="672" t="s">
        <v>965</v>
      </c>
      <c r="F1175" s="672" t="s">
        <v>1037</v>
      </c>
      <c r="H1175">
        <v>999.99900000000002</v>
      </c>
      <c r="J1175" s="1" t="s">
        <v>770</v>
      </c>
      <c r="K1175">
        <v>107927944</v>
      </c>
      <c r="L1175" s="2">
        <v>45616</v>
      </c>
      <c r="M1175">
        <v>28</v>
      </c>
      <c r="N1175">
        <v>2</v>
      </c>
      <c r="O1175">
        <v>4</v>
      </c>
      <c r="P1175">
        <v>1</v>
      </c>
      <c r="Q1175" t="s">
        <v>7</v>
      </c>
    </row>
    <row r="1176" spans="1:17">
      <c r="A1176" t="s">
        <v>1021</v>
      </c>
      <c r="B1176" s="672" t="s">
        <v>1172</v>
      </c>
      <c r="C1176">
        <v>2.5000000000000001E-2</v>
      </c>
      <c r="D1176" t="s">
        <v>6</v>
      </c>
      <c r="E1176" s="672" t="s">
        <v>965</v>
      </c>
      <c r="F1176" s="675" t="s">
        <v>1023</v>
      </c>
      <c r="H1176">
        <v>999.99900000000002</v>
      </c>
      <c r="J1176" s="1" t="s">
        <v>770</v>
      </c>
      <c r="K1176">
        <v>107852799</v>
      </c>
      <c r="L1176" s="2">
        <v>45551</v>
      </c>
      <c r="M1176">
        <v>31</v>
      </c>
      <c r="N1176">
        <v>2</v>
      </c>
      <c r="O1176">
        <v>4</v>
      </c>
      <c r="P1176">
        <v>1</v>
      </c>
      <c r="Q1176" t="s">
        <v>7</v>
      </c>
    </row>
    <row r="1177" spans="1:17">
      <c r="A1177" t="s">
        <v>1021</v>
      </c>
      <c r="B1177" s="672" t="s">
        <v>1030</v>
      </c>
      <c r="C1177">
        <v>1.9E-2</v>
      </c>
      <c r="D1177" t="s">
        <v>763</v>
      </c>
      <c r="E1177" s="672" t="s">
        <v>965</v>
      </c>
      <c r="H1177">
        <v>999.99900000000002</v>
      </c>
      <c r="J1177" s="1" t="s">
        <v>770</v>
      </c>
      <c r="K1177">
        <v>107879612</v>
      </c>
      <c r="L1177" s="2">
        <v>45576</v>
      </c>
      <c r="M1177">
        <v>31</v>
      </c>
      <c r="N1177">
        <v>1</v>
      </c>
      <c r="O1177">
        <v>0</v>
      </c>
      <c r="P1177">
        <v>1</v>
      </c>
      <c r="Q1177" t="s">
        <v>7</v>
      </c>
    </row>
    <row r="1178" spans="1:17">
      <c r="A1178" t="s">
        <v>1021</v>
      </c>
      <c r="B1178" s="672" t="s">
        <v>1136</v>
      </c>
      <c r="C1178">
        <v>8.9999999999999993E-3</v>
      </c>
      <c r="D1178" t="s">
        <v>6</v>
      </c>
      <c r="E1178" s="672" t="s">
        <v>965</v>
      </c>
      <c r="F1178" t="s">
        <v>1032</v>
      </c>
      <c r="H1178">
        <v>999.99900000000002</v>
      </c>
      <c r="J1178" s="1" t="s">
        <v>770</v>
      </c>
      <c r="K1178">
        <v>106802254</v>
      </c>
      <c r="L1178" s="2">
        <v>44463</v>
      </c>
      <c r="M1178">
        <v>31</v>
      </c>
      <c r="N1178">
        <v>1</v>
      </c>
      <c r="O1178">
        <v>0</v>
      </c>
      <c r="P1178">
        <v>1</v>
      </c>
      <c r="Q1178" t="s">
        <v>7</v>
      </c>
    </row>
    <row r="1179" spans="1:17">
      <c r="A1179" t="s">
        <v>1021</v>
      </c>
      <c r="B1179" s="672" t="s">
        <v>1171</v>
      </c>
      <c r="C1179">
        <v>0</v>
      </c>
      <c r="D1179" t="s">
        <v>765</v>
      </c>
      <c r="E1179" s="672" t="s">
        <v>965</v>
      </c>
      <c r="F1179" t="s">
        <v>1032</v>
      </c>
      <c r="H1179">
        <v>999.99900000000002</v>
      </c>
      <c r="J1179" s="1" t="s">
        <v>770</v>
      </c>
      <c r="K1179">
        <v>107661907</v>
      </c>
      <c r="L1179" s="2">
        <v>45372</v>
      </c>
      <c r="M1179">
        <v>31</v>
      </c>
      <c r="N1179">
        <v>1</v>
      </c>
      <c r="O1179">
        <v>0</v>
      </c>
      <c r="P1179">
        <v>1</v>
      </c>
      <c r="Q1179" t="s">
        <v>7</v>
      </c>
    </row>
    <row r="1180" spans="1:17">
      <c r="A1180" t="s">
        <v>1021</v>
      </c>
      <c r="B1180" s="672" t="s">
        <v>1180</v>
      </c>
      <c r="C1180">
        <v>1.2999999999999999E-2</v>
      </c>
      <c r="D1180" t="s">
        <v>6</v>
      </c>
      <c r="E1180" s="672" t="s">
        <v>965</v>
      </c>
      <c r="F1180" t="s">
        <v>1032</v>
      </c>
      <c r="H1180">
        <v>999.99900000000002</v>
      </c>
      <c r="J1180" s="1" t="s">
        <v>770</v>
      </c>
      <c r="K1180">
        <v>107994867</v>
      </c>
      <c r="L1180" s="2">
        <v>45675</v>
      </c>
      <c r="M1180">
        <v>20</v>
      </c>
      <c r="N1180">
        <v>1</v>
      </c>
      <c r="O1180">
        <v>0</v>
      </c>
      <c r="P1180">
        <v>1</v>
      </c>
      <c r="Q1180" t="s">
        <v>7</v>
      </c>
    </row>
    <row r="1181" spans="1:17">
      <c r="A1181" t="s">
        <v>1021</v>
      </c>
      <c r="B1181" s="675" t="s">
        <v>1124</v>
      </c>
      <c r="C1181">
        <v>8.9999999999999993E-3</v>
      </c>
      <c r="D1181" t="s">
        <v>764</v>
      </c>
      <c r="E1181" s="675" t="s">
        <v>964</v>
      </c>
      <c r="F1181" s="674" t="s">
        <v>968</v>
      </c>
      <c r="H1181">
        <v>999.99900000000002</v>
      </c>
      <c r="J1181" s="1" t="s">
        <v>770</v>
      </c>
      <c r="K1181">
        <v>107625727</v>
      </c>
      <c r="L1181" s="2">
        <v>45337</v>
      </c>
      <c r="M1181">
        <v>18</v>
      </c>
      <c r="N1181">
        <v>1</v>
      </c>
      <c r="O1181">
        <v>0</v>
      </c>
      <c r="P1181">
        <v>1</v>
      </c>
      <c r="Q1181" t="s">
        <v>7</v>
      </c>
    </row>
    <row r="1182" spans="1:17">
      <c r="A1182" t="s">
        <v>1021</v>
      </c>
      <c r="B1182" s="675" t="s">
        <v>1124</v>
      </c>
      <c r="C1182">
        <v>0</v>
      </c>
      <c r="D1182" t="s">
        <v>758</v>
      </c>
      <c r="E1182" s="675" t="s">
        <v>964</v>
      </c>
      <c r="F1182" s="674" t="s">
        <v>968</v>
      </c>
      <c r="H1182">
        <v>999.99900000000002</v>
      </c>
      <c r="J1182" s="1" t="s">
        <v>770</v>
      </c>
      <c r="K1182">
        <v>106186842</v>
      </c>
      <c r="L1182" s="2">
        <v>43860</v>
      </c>
      <c r="M1182">
        <v>30</v>
      </c>
      <c r="N1182">
        <v>1</v>
      </c>
      <c r="O1182">
        <v>0</v>
      </c>
      <c r="P1182">
        <v>4</v>
      </c>
      <c r="Q1182" t="s">
        <v>7</v>
      </c>
    </row>
    <row r="1183" spans="1:17">
      <c r="A1183" t="s">
        <v>1021</v>
      </c>
      <c r="B1183" s="675" t="s">
        <v>1186</v>
      </c>
      <c r="C1183">
        <v>0</v>
      </c>
      <c r="E1183" s="675" t="s">
        <v>964</v>
      </c>
      <c r="F1183" s="673" t="s">
        <v>967</v>
      </c>
      <c r="H1183">
        <v>999.99900000000002</v>
      </c>
      <c r="J1183" s="1" t="s">
        <v>770</v>
      </c>
      <c r="K1183">
        <v>108189347</v>
      </c>
      <c r="L1183" s="2">
        <v>45871</v>
      </c>
      <c r="M1183">
        <v>31</v>
      </c>
      <c r="N1183">
        <v>2</v>
      </c>
      <c r="O1183">
        <v>0</v>
      </c>
      <c r="P1183">
        <v>1</v>
      </c>
      <c r="Q1183" t="s">
        <v>7</v>
      </c>
    </row>
    <row r="1184" spans="1:17">
      <c r="A1184" t="s">
        <v>1021</v>
      </c>
      <c r="B1184" s="672" t="s">
        <v>1160</v>
      </c>
      <c r="C1184">
        <v>8.9999999999999993E-3</v>
      </c>
      <c r="D1184" t="s">
        <v>6</v>
      </c>
      <c r="E1184" s="672" t="s">
        <v>965</v>
      </c>
      <c r="F1184" t="s">
        <v>1040</v>
      </c>
      <c r="H1184">
        <v>999.99900000000002</v>
      </c>
      <c r="J1184" s="1" t="s">
        <v>770</v>
      </c>
      <c r="K1184">
        <v>107173185</v>
      </c>
      <c r="L1184" s="2">
        <v>44890</v>
      </c>
      <c r="M1184">
        <v>31</v>
      </c>
      <c r="N1184">
        <v>1</v>
      </c>
      <c r="O1184">
        <v>0</v>
      </c>
      <c r="P1184">
        <v>1</v>
      </c>
      <c r="Q1184" t="s">
        <v>7</v>
      </c>
    </row>
    <row r="1185" spans="1:17">
      <c r="A1185" t="s">
        <v>1021</v>
      </c>
      <c r="B1185" t="s">
        <v>1203</v>
      </c>
      <c r="C1185">
        <v>1.9E-2</v>
      </c>
      <c r="D1185" t="s">
        <v>757</v>
      </c>
      <c r="E1185" s="672" t="s">
        <v>965</v>
      </c>
      <c r="F1185" s="674" t="s">
        <v>968</v>
      </c>
      <c r="H1185">
        <v>999.99900000000002</v>
      </c>
      <c r="J1185" s="1" t="s">
        <v>770</v>
      </c>
      <c r="K1185">
        <v>108555383</v>
      </c>
      <c r="L1185" s="2">
        <v>46213</v>
      </c>
      <c r="M1185">
        <v>20</v>
      </c>
      <c r="N1185">
        <v>1</v>
      </c>
      <c r="O1185">
        <v>0</v>
      </c>
      <c r="P1185">
        <v>1</v>
      </c>
      <c r="Q1185" t="s">
        <v>7</v>
      </c>
    </row>
    <row r="1186" spans="1:17">
      <c r="A1186" t="s">
        <v>1021</v>
      </c>
      <c r="B1186" t="s">
        <v>1149</v>
      </c>
      <c r="C1186">
        <v>2.3E-2</v>
      </c>
      <c r="D1186" t="s">
        <v>764</v>
      </c>
      <c r="E1186" s="672" t="s">
        <v>965</v>
      </c>
      <c r="F1186" t="s">
        <v>1071</v>
      </c>
      <c r="H1186">
        <v>999.99900000000002</v>
      </c>
      <c r="J1186" s="1" t="s">
        <v>770</v>
      </c>
      <c r="K1186">
        <v>107004126</v>
      </c>
      <c r="L1186" s="2">
        <v>44743</v>
      </c>
      <c r="M1186">
        <v>31</v>
      </c>
      <c r="N1186">
        <v>2</v>
      </c>
      <c r="O1186">
        <v>0</v>
      </c>
      <c r="P1186">
        <v>1</v>
      </c>
      <c r="Q1186" t="s">
        <v>7</v>
      </c>
    </row>
    <row r="1187" spans="1:17">
      <c r="A1187" t="s">
        <v>1021</v>
      </c>
      <c r="B1187" t="s">
        <v>1031</v>
      </c>
      <c r="C1187">
        <v>1.9E-2</v>
      </c>
      <c r="D1187" t="s">
        <v>6</v>
      </c>
      <c r="E1187" s="672" t="s">
        <v>965</v>
      </c>
      <c r="F1187" t="s">
        <v>1032</v>
      </c>
      <c r="H1187">
        <v>999.99900000000002</v>
      </c>
      <c r="J1187" s="1" t="s">
        <v>770</v>
      </c>
      <c r="K1187">
        <v>107583528</v>
      </c>
      <c r="L1187" s="2">
        <v>45295</v>
      </c>
      <c r="M1187">
        <v>31</v>
      </c>
      <c r="N1187">
        <v>1</v>
      </c>
      <c r="O1187">
        <v>0</v>
      </c>
      <c r="P1187">
        <v>1</v>
      </c>
      <c r="Q1187" t="s">
        <v>7</v>
      </c>
    </row>
    <row r="1188" spans="1:17">
      <c r="A1188" t="s">
        <v>1021</v>
      </c>
      <c r="B1188" s="673" t="s">
        <v>1199</v>
      </c>
      <c r="C1188">
        <v>3.7999999999999999E-2</v>
      </c>
      <c r="D1188" t="s">
        <v>6</v>
      </c>
      <c r="E1188" s="672" t="s">
        <v>965</v>
      </c>
      <c r="F1188" s="674" t="s">
        <v>968</v>
      </c>
      <c r="H1188">
        <v>999.99900000000002</v>
      </c>
      <c r="J1188" s="1" t="s">
        <v>770</v>
      </c>
      <c r="K1188">
        <v>108597848</v>
      </c>
      <c r="L1188" s="2">
        <v>46256</v>
      </c>
      <c r="M1188">
        <v>20</v>
      </c>
      <c r="N1188">
        <v>1</v>
      </c>
      <c r="O1188">
        <v>0</v>
      </c>
      <c r="P1188">
        <v>1</v>
      </c>
      <c r="Q1188" t="s">
        <v>7</v>
      </c>
    </row>
    <row r="1189" spans="1:17">
      <c r="A1189" t="s">
        <v>1021</v>
      </c>
      <c r="B1189" t="s">
        <v>1093</v>
      </c>
      <c r="C1189">
        <v>2E-3</v>
      </c>
      <c r="D1189" t="s">
        <v>756</v>
      </c>
      <c r="E1189" s="673" t="s">
        <v>967</v>
      </c>
      <c r="F1189" s="674" t="s">
        <v>968</v>
      </c>
      <c r="H1189">
        <v>999.99900000000002</v>
      </c>
      <c r="J1189" s="1" t="s">
        <v>770</v>
      </c>
      <c r="K1189">
        <v>105028150</v>
      </c>
      <c r="L1189" s="2">
        <v>42767</v>
      </c>
      <c r="M1189">
        <v>21</v>
      </c>
      <c r="N1189">
        <v>1</v>
      </c>
      <c r="O1189">
        <v>8</v>
      </c>
      <c r="P1189">
        <v>4</v>
      </c>
      <c r="Q1189" t="s">
        <v>3</v>
      </c>
    </row>
    <row r="1190" spans="1:17">
      <c r="A1190" t="s">
        <v>1021</v>
      </c>
      <c r="B1190" t="s">
        <v>1139</v>
      </c>
      <c r="C1190">
        <v>0</v>
      </c>
      <c r="D1190" t="s">
        <v>6</v>
      </c>
      <c r="E1190" s="672" t="s">
        <v>965</v>
      </c>
      <c r="F1190" t="s">
        <v>1033</v>
      </c>
      <c r="H1190">
        <v>999.99900000000002</v>
      </c>
      <c r="J1190" s="1" t="s">
        <v>770</v>
      </c>
      <c r="K1190">
        <v>106812614</v>
      </c>
      <c r="L1190" s="2">
        <v>44553</v>
      </c>
      <c r="M1190">
        <v>21</v>
      </c>
      <c r="N1190">
        <v>1</v>
      </c>
      <c r="O1190">
        <v>0</v>
      </c>
      <c r="P1190">
        <v>1</v>
      </c>
      <c r="Q1190" t="s">
        <v>7</v>
      </c>
    </row>
    <row r="1191" spans="1:17">
      <c r="A1191" t="s">
        <v>1021</v>
      </c>
      <c r="B1191" t="s">
        <v>1168</v>
      </c>
      <c r="C1191">
        <v>2E-3</v>
      </c>
      <c r="D1191" t="s">
        <v>757</v>
      </c>
      <c r="E1191" s="673" t="s">
        <v>963</v>
      </c>
      <c r="H1191">
        <v>999.99900000000002</v>
      </c>
      <c r="J1191" s="1" t="s">
        <v>770</v>
      </c>
      <c r="K1191">
        <v>108012761</v>
      </c>
      <c r="L1191" s="2">
        <v>45693</v>
      </c>
      <c r="M1191">
        <v>20</v>
      </c>
      <c r="N1191">
        <v>1</v>
      </c>
      <c r="O1191">
        <v>0</v>
      </c>
      <c r="P1191">
        <v>1</v>
      </c>
      <c r="Q1191" t="s">
        <v>7</v>
      </c>
    </row>
    <row r="1192" spans="1:17">
      <c r="A1192" t="s">
        <v>1021</v>
      </c>
      <c r="B1192" t="s">
        <v>1168</v>
      </c>
      <c r="C1192">
        <v>6.0000000000000001E-3</v>
      </c>
      <c r="D1192" t="s">
        <v>756</v>
      </c>
      <c r="E1192" s="673" t="s">
        <v>963</v>
      </c>
      <c r="H1192">
        <v>999.99900000000002</v>
      </c>
      <c r="J1192" s="1" t="s">
        <v>770</v>
      </c>
      <c r="K1192">
        <v>108051131</v>
      </c>
      <c r="L1192" s="2">
        <v>45733</v>
      </c>
      <c r="M1192">
        <v>20</v>
      </c>
      <c r="N1192">
        <v>1</v>
      </c>
      <c r="O1192">
        <v>0</v>
      </c>
      <c r="P1192">
        <v>1</v>
      </c>
      <c r="Q1192" t="s">
        <v>7</v>
      </c>
    </row>
    <row r="1193" spans="1:17">
      <c r="A1193" t="s">
        <v>1021</v>
      </c>
      <c r="B1193" t="s">
        <v>1168</v>
      </c>
      <c r="C1193">
        <v>8.9999999999999993E-3</v>
      </c>
      <c r="D1193" t="s">
        <v>758</v>
      </c>
      <c r="E1193" s="672" t="s">
        <v>965</v>
      </c>
      <c r="H1193">
        <v>999.99900000000002</v>
      </c>
      <c r="J1193" s="1" t="s">
        <v>770</v>
      </c>
      <c r="K1193">
        <v>107622106</v>
      </c>
      <c r="L1193" s="2">
        <v>45333</v>
      </c>
      <c r="M1193">
        <v>20</v>
      </c>
      <c r="N1193">
        <v>1</v>
      </c>
      <c r="O1193">
        <v>0</v>
      </c>
      <c r="P1193">
        <v>1</v>
      </c>
      <c r="Q1193" t="s">
        <v>7</v>
      </c>
    </row>
    <row r="1194" spans="1:17">
      <c r="A1194" t="s">
        <v>1021</v>
      </c>
      <c r="B1194" t="s">
        <v>1068</v>
      </c>
      <c r="C1194">
        <v>1.9E-2</v>
      </c>
      <c r="D1194" t="s">
        <v>757</v>
      </c>
      <c r="E1194" s="672" t="s">
        <v>965</v>
      </c>
      <c r="F1194" t="s">
        <v>1032</v>
      </c>
      <c r="H1194">
        <v>999.99900000000002</v>
      </c>
      <c r="J1194" s="1" t="s">
        <v>770</v>
      </c>
      <c r="K1194">
        <v>105107749</v>
      </c>
      <c r="L1194" s="2">
        <v>42870</v>
      </c>
      <c r="M1194">
        <v>30</v>
      </c>
      <c r="N1194">
        <v>1</v>
      </c>
      <c r="O1194">
        <v>0</v>
      </c>
      <c r="P1194">
        <v>1</v>
      </c>
      <c r="Q1194" t="s">
        <v>7</v>
      </c>
    </row>
    <row r="1195" spans="1:17">
      <c r="A1195" t="s">
        <v>1021</v>
      </c>
      <c r="B1195" t="s">
        <v>1197</v>
      </c>
      <c r="C1195">
        <v>1.0999999999999999E-2</v>
      </c>
      <c r="D1195" t="s">
        <v>6</v>
      </c>
      <c r="E1195" s="672" t="s">
        <v>965</v>
      </c>
      <c r="F1195" s="672" t="s">
        <v>1037</v>
      </c>
      <c r="H1195">
        <v>999.99900000000002</v>
      </c>
      <c r="J1195" s="1" t="s">
        <v>770</v>
      </c>
      <c r="K1195">
        <v>108517687</v>
      </c>
      <c r="L1195" s="2">
        <v>46176</v>
      </c>
      <c r="M1195">
        <v>31</v>
      </c>
      <c r="N1195">
        <v>1</v>
      </c>
      <c r="O1195">
        <v>4</v>
      </c>
      <c r="P1195">
        <v>1</v>
      </c>
      <c r="Q1195" t="s">
        <v>7</v>
      </c>
    </row>
    <row r="1196" spans="1:17">
      <c r="A1196" t="s">
        <v>1021</v>
      </c>
      <c r="B1196" t="s">
        <v>1173</v>
      </c>
      <c r="C1196">
        <v>0</v>
      </c>
      <c r="D1196" t="s">
        <v>6</v>
      </c>
      <c r="E1196" s="672" t="s">
        <v>965</v>
      </c>
      <c r="F1196" s="672" t="s">
        <v>1037</v>
      </c>
      <c r="H1196">
        <v>999.99900000000002</v>
      </c>
      <c r="J1196" s="1" t="s">
        <v>770</v>
      </c>
      <c r="K1196">
        <v>107830283</v>
      </c>
      <c r="L1196" s="2">
        <v>45531</v>
      </c>
      <c r="M1196">
        <v>31</v>
      </c>
      <c r="N1196">
        <v>1</v>
      </c>
      <c r="O1196">
        <v>0</v>
      </c>
      <c r="P1196">
        <v>1</v>
      </c>
      <c r="Q1196" t="s">
        <v>7</v>
      </c>
    </row>
    <row r="1197" spans="1:17">
      <c r="A1197" t="s">
        <v>1021</v>
      </c>
      <c r="B1197" t="s">
        <v>1173</v>
      </c>
      <c r="C1197">
        <v>8.9999999999999993E-3</v>
      </c>
      <c r="D1197" t="s">
        <v>6</v>
      </c>
      <c r="E1197" s="672" t="s">
        <v>965</v>
      </c>
      <c r="F1197" s="672" t="s">
        <v>1037</v>
      </c>
      <c r="H1197">
        <v>999.99900000000002</v>
      </c>
      <c r="J1197" s="1" t="s">
        <v>770</v>
      </c>
      <c r="K1197">
        <v>107920548</v>
      </c>
      <c r="L1197" s="2">
        <v>45609</v>
      </c>
      <c r="M1197">
        <v>31</v>
      </c>
      <c r="N1197">
        <v>1</v>
      </c>
      <c r="O1197">
        <v>0</v>
      </c>
      <c r="P1197">
        <v>1</v>
      </c>
      <c r="Q1197" t="s">
        <v>7</v>
      </c>
    </row>
    <row r="1198" spans="1:17">
      <c r="A1198" t="s">
        <v>1021</v>
      </c>
      <c r="B1198" t="s">
        <v>1069</v>
      </c>
      <c r="C1198">
        <v>1.6E-2</v>
      </c>
      <c r="D1198" t="s">
        <v>757</v>
      </c>
      <c r="E1198" s="672" t="s">
        <v>965</v>
      </c>
      <c r="F1198" t="s">
        <v>970</v>
      </c>
      <c r="H1198">
        <v>999.99900000000002</v>
      </c>
      <c r="J1198" s="1" t="s">
        <v>770</v>
      </c>
      <c r="K1198">
        <v>105107750</v>
      </c>
      <c r="L1198" s="2">
        <v>42870</v>
      </c>
      <c r="M1198">
        <v>30</v>
      </c>
      <c r="N1198">
        <v>1</v>
      </c>
      <c r="O1198">
        <v>4</v>
      </c>
      <c r="P1198">
        <v>1</v>
      </c>
      <c r="Q1198" t="s">
        <v>7</v>
      </c>
    </row>
    <row r="1199" spans="1:17">
      <c r="A1199" t="s">
        <v>1021</v>
      </c>
      <c r="B1199" t="s">
        <v>1107</v>
      </c>
      <c r="C1199">
        <v>1.9E-2</v>
      </c>
      <c r="D1199" t="s">
        <v>758</v>
      </c>
      <c r="E1199" s="673" t="s">
        <v>967</v>
      </c>
      <c r="F1199" s="672" t="s">
        <v>965</v>
      </c>
      <c r="H1199">
        <v>999.99900000000002</v>
      </c>
      <c r="J1199" s="1" t="s">
        <v>770</v>
      </c>
      <c r="K1199">
        <v>107356174</v>
      </c>
      <c r="L1199" s="2">
        <v>45082</v>
      </c>
      <c r="M1199">
        <v>31</v>
      </c>
      <c r="N1199">
        <v>1</v>
      </c>
      <c r="O1199">
        <v>0</v>
      </c>
      <c r="P1199">
        <v>1</v>
      </c>
      <c r="Q1199" t="s">
        <v>7</v>
      </c>
    </row>
    <row r="1200" spans="1:17">
      <c r="A1200" t="s">
        <v>1021</v>
      </c>
      <c r="B1200" t="s">
        <v>1158</v>
      </c>
      <c r="C1200">
        <v>8.9999999999999993E-3</v>
      </c>
      <c r="D1200" t="s">
        <v>757</v>
      </c>
      <c r="E1200" s="672" t="s">
        <v>965</v>
      </c>
      <c r="F1200" t="s">
        <v>1056</v>
      </c>
      <c r="H1200">
        <v>999.99900000000002</v>
      </c>
      <c r="J1200" s="1" t="s">
        <v>770</v>
      </c>
      <c r="K1200">
        <v>107150004</v>
      </c>
      <c r="L1200" s="2">
        <v>44869</v>
      </c>
      <c r="M1200">
        <v>20</v>
      </c>
      <c r="N1200">
        <v>1</v>
      </c>
      <c r="O1200">
        <v>0</v>
      </c>
      <c r="P1200">
        <v>3</v>
      </c>
      <c r="Q1200" t="s">
        <v>7</v>
      </c>
    </row>
    <row r="1201" spans="1:22">
      <c r="A1201" t="s">
        <v>1021</v>
      </c>
      <c r="B1201" t="s">
        <v>1048</v>
      </c>
      <c r="C1201">
        <v>6.0000000000000001E-3</v>
      </c>
      <c r="D1201" t="s">
        <v>762</v>
      </c>
      <c r="E1201" s="675" t="s">
        <v>964</v>
      </c>
      <c r="F1201" s="674" t="s">
        <v>968</v>
      </c>
      <c r="H1201">
        <v>999.99900000000002</v>
      </c>
      <c r="J1201" s="1" t="s">
        <v>770</v>
      </c>
      <c r="K1201">
        <v>105197257</v>
      </c>
      <c r="L1201" s="2">
        <v>42954</v>
      </c>
      <c r="M1201">
        <v>19</v>
      </c>
      <c r="N1201">
        <v>1</v>
      </c>
      <c r="O1201">
        <v>0</v>
      </c>
      <c r="P1201">
        <v>1</v>
      </c>
      <c r="Q1201" t="s">
        <v>3</v>
      </c>
    </row>
    <row r="1202" spans="1:22">
      <c r="A1202" t="s">
        <v>1021</v>
      </c>
      <c r="B1202" t="s">
        <v>1048</v>
      </c>
      <c r="C1202">
        <v>1.9E-2</v>
      </c>
      <c r="D1202" t="s">
        <v>756</v>
      </c>
      <c r="E1202" s="675" t="s">
        <v>964</v>
      </c>
      <c r="F1202" s="674" t="s">
        <v>968</v>
      </c>
      <c r="H1202">
        <v>999.99900000000002</v>
      </c>
      <c r="J1202" s="1" t="s">
        <v>770</v>
      </c>
      <c r="K1202">
        <v>105056687</v>
      </c>
      <c r="L1202" s="2">
        <v>42818</v>
      </c>
      <c r="M1202">
        <v>31</v>
      </c>
      <c r="N1202">
        <v>1</v>
      </c>
      <c r="O1202">
        <v>4</v>
      </c>
      <c r="P1202">
        <v>1</v>
      </c>
      <c r="Q1202" t="s">
        <v>7</v>
      </c>
    </row>
    <row r="1203" spans="1:22">
      <c r="A1203" t="s">
        <v>1021</v>
      </c>
      <c r="B1203" t="s">
        <v>1048</v>
      </c>
      <c r="C1203">
        <v>1.2999999999999999E-2</v>
      </c>
      <c r="D1203" t="s">
        <v>6</v>
      </c>
      <c r="E1203" s="675" t="s">
        <v>964</v>
      </c>
      <c r="F1203" s="674" t="s">
        <v>968</v>
      </c>
      <c r="H1203">
        <v>999.99900000000002</v>
      </c>
      <c r="J1203" s="1" t="s">
        <v>770</v>
      </c>
      <c r="K1203">
        <v>105121777</v>
      </c>
      <c r="L1203" s="2">
        <v>42885</v>
      </c>
      <c r="M1203">
        <v>32</v>
      </c>
      <c r="N1203">
        <v>1</v>
      </c>
      <c r="O1203">
        <v>4</v>
      </c>
      <c r="P1203">
        <v>1</v>
      </c>
      <c r="Q1203" t="s">
        <v>7</v>
      </c>
    </row>
    <row r="1204" spans="1:22">
      <c r="A1204" t="s">
        <v>1021</v>
      </c>
      <c r="B1204" t="s">
        <v>1048</v>
      </c>
      <c r="C1204">
        <v>1E-3</v>
      </c>
      <c r="D1204" t="s">
        <v>6</v>
      </c>
      <c r="E1204" s="675" t="s">
        <v>964</v>
      </c>
      <c r="H1204">
        <v>999.99900000000002</v>
      </c>
      <c r="J1204" s="1" t="s">
        <v>770</v>
      </c>
      <c r="K1204">
        <v>105072049</v>
      </c>
      <c r="L1204" s="2">
        <v>42836</v>
      </c>
      <c r="M1204">
        <v>21</v>
      </c>
      <c r="N1204">
        <v>1</v>
      </c>
      <c r="O1204">
        <v>4</v>
      </c>
      <c r="P1204">
        <v>1</v>
      </c>
      <c r="Q1204" t="s">
        <v>7</v>
      </c>
    </row>
    <row r="1205" spans="1:22">
      <c r="A1205" t="s">
        <v>1021</v>
      </c>
      <c r="B1205" t="s">
        <v>1022</v>
      </c>
      <c r="C1205">
        <v>2.8000000000000001E-2</v>
      </c>
      <c r="D1205" t="s">
        <v>757</v>
      </c>
      <c r="E1205" s="672" t="s">
        <v>965</v>
      </c>
      <c r="F1205" t="s">
        <v>1118</v>
      </c>
      <c r="H1205">
        <v>999.99900000000002</v>
      </c>
      <c r="J1205" s="1" t="s">
        <v>770</v>
      </c>
      <c r="K1205">
        <v>106036364</v>
      </c>
      <c r="L1205" s="2">
        <v>43751</v>
      </c>
      <c r="M1205">
        <v>26</v>
      </c>
      <c r="N1205">
        <v>1</v>
      </c>
      <c r="O1205">
        <v>8</v>
      </c>
      <c r="P1205">
        <v>1</v>
      </c>
      <c r="Q1205" t="s">
        <v>7</v>
      </c>
    </row>
    <row r="1206" spans="1:22">
      <c r="A1206" t="s">
        <v>1021</v>
      </c>
      <c r="B1206" t="s">
        <v>1022</v>
      </c>
      <c r="C1206">
        <v>2E-3</v>
      </c>
      <c r="D1206" t="s">
        <v>757</v>
      </c>
      <c r="E1206" s="672" t="s">
        <v>965</v>
      </c>
      <c r="F1206" s="674" t="s">
        <v>968</v>
      </c>
      <c r="H1206">
        <v>999.99900000000002</v>
      </c>
      <c r="J1206" s="1" t="s">
        <v>770</v>
      </c>
      <c r="K1206">
        <v>106802330</v>
      </c>
      <c r="L1206" s="2">
        <v>44497</v>
      </c>
      <c r="M1206">
        <v>19</v>
      </c>
      <c r="N1206">
        <v>1</v>
      </c>
      <c r="O1206">
        <v>8</v>
      </c>
      <c r="P1206">
        <v>1</v>
      </c>
      <c r="Q1206" t="s">
        <v>8</v>
      </c>
    </row>
    <row r="1207" spans="1:22">
      <c r="A1207" t="s">
        <v>1021</v>
      </c>
      <c r="B1207" t="s">
        <v>1022</v>
      </c>
      <c r="C1207">
        <v>2.1999999999999999E-2</v>
      </c>
      <c r="D1207" t="s">
        <v>757</v>
      </c>
      <c r="E1207" s="672" t="s">
        <v>965</v>
      </c>
      <c r="H1207">
        <v>999.99900000000002</v>
      </c>
      <c r="J1207" s="1" t="s">
        <v>770</v>
      </c>
      <c r="K1207">
        <v>107317615</v>
      </c>
      <c r="L1207" s="2">
        <v>45045</v>
      </c>
      <c r="M1207">
        <v>25</v>
      </c>
      <c r="N1207">
        <v>1</v>
      </c>
      <c r="O1207">
        <v>0</v>
      </c>
      <c r="P1207">
        <v>1</v>
      </c>
      <c r="Q1207" t="s">
        <v>7</v>
      </c>
    </row>
    <row r="1208" spans="1:22">
      <c r="A1208" t="s">
        <v>1021</v>
      </c>
      <c r="B1208" t="s">
        <v>1022</v>
      </c>
      <c r="C1208">
        <v>8.9999999999999993E-3</v>
      </c>
      <c r="D1208" t="s">
        <v>757</v>
      </c>
      <c r="E1208" s="672" t="s">
        <v>965</v>
      </c>
      <c r="H1208">
        <v>999.99900000000002</v>
      </c>
      <c r="J1208" s="1" t="s">
        <v>770</v>
      </c>
      <c r="K1208">
        <v>107240299</v>
      </c>
      <c r="L1208" s="2">
        <v>44968</v>
      </c>
      <c r="M1208">
        <v>28</v>
      </c>
      <c r="N1208">
        <v>1</v>
      </c>
      <c r="O1208">
        <v>8</v>
      </c>
      <c r="P1208">
        <v>1</v>
      </c>
      <c r="Q1208" t="s">
        <v>7</v>
      </c>
    </row>
    <row r="1209" spans="1:22">
      <c r="A1209" t="s">
        <v>1021</v>
      </c>
      <c r="B1209" t="s">
        <v>1022</v>
      </c>
      <c r="C1209">
        <v>1E-3</v>
      </c>
      <c r="D1209" t="s">
        <v>757</v>
      </c>
      <c r="E1209" s="672" t="s">
        <v>965</v>
      </c>
      <c r="H1209">
        <v>999.99900000000002</v>
      </c>
      <c r="J1209" s="1" t="s">
        <v>770</v>
      </c>
      <c r="K1209">
        <v>108373439</v>
      </c>
      <c r="L1209" s="2">
        <v>46038</v>
      </c>
      <c r="M1209">
        <v>31</v>
      </c>
      <c r="N1209">
        <v>1</v>
      </c>
      <c r="O1209">
        <v>12</v>
      </c>
      <c r="P1209">
        <v>1</v>
      </c>
      <c r="Q1209" t="s">
        <v>7</v>
      </c>
    </row>
    <row r="1210" spans="1:22">
      <c r="A1210" t="s">
        <v>1021</v>
      </c>
      <c r="B1210" t="s">
        <v>1167</v>
      </c>
      <c r="C1210">
        <v>4.0000000000000001E-3</v>
      </c>
      <c r="D1210" t="s">
        <v>756</v>
      </c>
      <c r="E1210" s="673" t="s">
        <v>963</v>
      </c>
      <c r="F1210" s="672" t="s">
        <v>965</v>
      </c>
      <c r="H1210">
        <v>999.99900000000002</v>
      </c>
      <c r="J1210" s="1" t="s">
        <v>770</v>
      </c>
      <c r="K1210">
        <v>107536958</v>
      </c>
      <c r="L1210" s="2">
        <v>45252</v>
      </c>
      <c r="M1210">
        <v>20</v>
      </c>
      <c r="N1210">
        <v>1</v>
      </c>
      <c r="O1210">
        <v>0</v>
      </c>
      <c r="P1210">
        <v>1</v>
      </c>
      <c r="Q1210" t="s">
        <v>7</v>
      </c>
    </row>
    <row r="1211" spans="1:22">
      <c r="A1211" t="s">
        <v>1021</v>
      </c>
      <c r="B1211" t="s">
        <v>1167</v>
      </c>
      <c r="C1211">
        <v>0.01</v>
      </c>
      <c r="D1211" t="s">
        <v>765</v>
      </c>
      <c r="E1211" s="673" t="s">
        <v>963</v>
      </c>
      <c r="F1211" s="672" t="s">
        <v>965</v>
      </c>
      <c r="H1211">
        <v>999.99900000000002</v>
      </c>
      <c r="J1211" s="1" t="s">
        <v>770</v>
      </c>
      <c r="K1211">
        <v>107536973</v>
      </c>
      <c r="L1211" s="2">
        <v>45251</v>
      </c>
      <c r="M1211">
        <v>20</v>
      </c>
      <c r="N1211">
        <v>2</v>
      </c>
      <c r="O1211">
        <v>0</v>
      </c>
      <c r="P1211">
        <v>1</v>
      </c>
    </row>
    <row r="1212" spans="1:22">
      <c r="A1212" t="s">
        <v>1021</v>
      </c>
      <c r="B1212" t="s">
        <v>1167</v>
      </c>
      <c r="C1212">
        <v>5.0000000000000001E-3</v>
      </c>
      <c r="D1212" t="s">
        <v>765</v>
      </c>
      <c r="E1212" s="673" t="s">
        <v>963</v>
      </c>
      <c r="F1212" s="672" t="s">
        <v>965</v>
      </c>
      <c r="H1212">
        <v>999.99900000000002</v>
      </c>
      <c r="J1212" s="1" t="s">
        <v>770</v>
      </c>
      <c r="K1212">
        <v>107661002</v>
      </c>
      <c r="L1212" s="2">
        <v>45371</v>
      </c>
      <c r="M1212">
        <v>20</v>
      </c>
      <c r="N1212">
        <v>1</v>
      </c>
      <c r="O1212">
        <v>0</v>
      </c>
      <c r="P1212">
        <v>2</v>
      </c>
    </row>
    <row r="1213" spans="1:22">
      <c r="A1213" t="s">
        <v>1021</v>
      </c>
      <c r="B1213" t="s">
        <v>1167</v>
      </c>
      <c r="C1213">
        <v>4.0000000000000001E-3</v>
      </c>
      <c r="D1213" t="s">
        <v>765</v>
      </c>
      <c r="E1213" s="673" t="s">
        <v>963</v>
      </c>
      <c r="F1213" s="672" t="s">
        <v>965</v>
      </c>
      <c r="H1213">
        <v>999.99900000000002</v>
      </c>
      <c r="J1213" s="1" t="s">
        <v>770</v>
      </c>
      <c r="K1213">
        <v>108241568</v>
      </c>
      <c r="L1213" s="2">
        <v>45924</v>
      </c>
      <c r="M1213">
        <v>20</v>
      </c>
      <c r="N1213">
        <v>1</v>
      </c>
      <c r="O1213">
        <v>0</v>
      </c>
      <c r="P1213">
        <v>1</v>
      </c>
    </row>
    <row r="1214" spans="1:22">
      <c r="A1214" t="s">
        <v>970</v>
      </c>
      <c r="B1214" s="672" t="s">
        <v>962</v>
      </c>
      <c r="C1214">
        <v>5.7000000000000002E-2</v>
      </c>
      <c r="D1214" t="s">
        <v>758</v>
      </c>
      <c r="E1214" t="s">
        <v>985</v>
      </c>
      <c r="F1214" t="s">
        <v>980</v>
      </c>
      <c r="H1214">
        <v>999.99900000000002</v>
      </c>
      <c r="J1214" s="1" t="s">
        <v>770</v>
      </c>
      <c r="K1214">
        <v>107035678</v>
      </c>
      <c r="L1214" s="2">
        <v>44761</v>
      </c>
      <c r="M1214">
        <v>28</v>
      </c>
      <c r="N1214">
        <v>1</v>
      </c>
      <c r="O1214">
        <v>0</v>
      </c>
      <c r="P1214">
        <v>1</v>
      </c>
      <c r="Q1214" t="s">
        <v>7</v>
      </c>
    </row>
    <row r="1215" spans="1:22">
      <c r="A1215" t="s">
        <v>754</v>
      </c>
      <c r="B1215" s="672" t="s">
        <v>962</v>
      </c>
      <c r="C1215">
        <v>4.7E-2</v>
      </c>
      <c r="D1215" t="s">
        <v>756</v>
      </c>
      <c r="E1215" t="s">
        <v>985</v>
      </c>
      <c r="F1215" s="674" t="s">
        <v>975</v>
      </c>
      <c r="H1215">
        <v>999.99900000000002</v>
      </c>
      <c r="J1215" s="1" t="s">
        <v>770</v>
      </c>
      <c r="K1215">
        <v>106971805</v>
      </c>
      <c r="L1215" s="2">
        <v>44698</v>
      </c>
      <c r="M1215">
        <v>28</v>
      </c>
      <c r="N1215">
        <v>1</v>
      </c>
      <c r="O1215">
        <v>14</v>
      </c>
      <c r="P1215">
        <v>1</v>
      </c>
      <c r="Q1215" t="s">
        <v>10</v>
      </c>
      <c r="R1215">
        <v>35.177003999999997</v>
      </c>
      <c r="S1215">
        <v>-79.437830000000005</v>
      </c>
      <c r="T1215" t="s">
        <v>759</v>
      </c>
      <c r="U1215" t="s">
        <v>367</v>
      </c>
      <c r="V1215">
        <v>0.5635</v>
      </c>
    </row>
    <row r="1216" spans="1:22">
      <c r="A1216" t="s">
        <v>754</v>
      </c>
      <c r="B1216" s="672" t="s">
        <v>962</v>
      </c>
      <c r="C1216">
        <v>7.0000000000000001E-3</v>
      </c>
      <c r="D1216" t="s">
        <v>6</v>
      </c>
      <c r="E1216" t="s">
        <v>1006</v>
      </c>
      <c r="F1216" t="s">
        <v>980</v>
      </c>
      <c r="H1216">
        <v>999.99900000000002</v>
      </c>
      <c r="J1216" s="1" t="s">
        <v>770</v>
      </c>
      <c r="K1216">
        <v>107083148</v>
      </c>
      <c r="L1216" s="2">
        <v>44815</v>
      </c>
      <c r="M1216">
        <v>23</v>
      </c>
      <c r="N1216">
        <v>1</v>
      </c>
      <c r="O1216">
        <v>8</v>
      </c>
      <c r="P1216">
        <v>1</v>
      </c>
      <c r="Q1216" t="s">
        <v>7</v>
      </c>
    </row>
    <row r="1217" spans="1:22">
      <c r="A1217" t="s">
        <v>1021</v>
      </c>
      <c r="B1217" s="672" t="s">
        <v>962</v>
      </c>
      <c r="C1217">
        <v>2.4E-2</v>
      </c>
      <c r="D1217" t="s">
        <v>758</v>
      </c>
      <c r="E1217" t="s">
        <v>1166</v>
      </c>
      <c r="F1217" t="s">
        <v>1006</v>
      </c>
      <c r="H1217">
        <v>999.99900000000002</v>
      </c>
      <c r="J1217" s="1" t="s">
        <v>770</v>
      </c>
      <c r="K1217">
        <v>107497749</v>
      </c>
      <c r="L1217" s="2">
        <v>45219</v>
      </c>
      <c r="M1217">
        <v>21</v>
      </c>
      <c r="N1217">
        <v>1</v>
      </c>
      <c r="O1217">
        <v>0</v>
      </c>
      <c r="P1217">
        <v>1</v>
      </c>
      <c r="Q1217" t="s">
        <v>7</v>
      </c>
      <c r="R1217">
        <v>35.177</v>
      </c>
      <c r="S1217">
        <v>-79.437299999999993</v>
      </c>
      <c r="T1217" t="s">
        <v>761</v>
      </c>
      <c r="U1217" t="s">
        <v>367</v>
      </c>
      <c r="V1217">
        <v>0.53400000000000003</v>
      </c>
    </row>
    <row r="1218" spans="1:22">
      <c r="A1218" t="s">
        <v>754</v>
      </c>
      <c r="B1218" s="672" t="s">
        <v>962</v>
      </c>
      <c r="C1218">
        <v>4.2999999999999997E-2</v>
      </c>
      <c r="D1218" t="s">
        <v>758</v>
      </c>
      <c r="E1218" s="674" t="s">
        <v>986</v>
      </c>
      <c r="F1218" s="674" t="s">
        <v>975</v>
      </c>
      <c r="H1218">
        <v>999.99900000000002</v>
      </c>
      <c r="J1218" s="1" t="s">
        <v>770</v>
      </c>
      <c r="K1218">
        <v>105229332</v>
      </c>
      <c r="L1218" s="2">
        <v>42999</v>
      </c>
      <c r="M1218">
        <v>21</v>
      </c>
      <c r="N1218">
        <v>1</v>
      </c>
      <c r="O1218">
        <v>0</v>
      </c>
      <c r="P1218">
        <v>1</v>
      </c>
      <c r="Q1218" t="s">
        <v>3</v>
      </c>
    </row>
    <row r="1219" spans="1:22">
      <c r="A1219" t="s">
        <v>754</v>
      </c>
      <c r="B1219" s="672" t="s">
        <v>962</v>
      </c>
      <c r="C1219">
        <v>4.0000000000000001E-3</v>
      </c>
      <c r="D1219" t="s">
        <v>758</v>
      </c>
      <c r="E1219" s="674" t="s">
        <v>986</v>
      </c>
      <c r="F1219" s="674" t="s">
        <v>975</v>
      </c>
      <c r="H1219">
        <v>999.99900000000002</v>
      </c>
      <c r="J1219" s="1" t="s">
        <v>770</v>
      </c>
      <c r="K1219">
        <v>106136418</v>
      </c>
      <c r="L1219" s="2">
        <v>43812</v>
      </c>
      <c r="M1219">
        <v>21</v>
      </c>
      <c r="N1219">
        <v>2</v>
      </c>
      <c r="O1219">
        <v>0</v>
      </c>
      <c r="P1219">
        <v>1</v>
      </c>
      <c r="Q1219" t="s">
        <v>7</v>
      </c>
    </row>
    <row r="1220" spans="1:22">
      <c r="A1220" t="s">
        <v>754</v>
      </c>
      <c r="B1220" s="672" t="s">
        <v>962</v>
      </c>
      <c r="C1220">
        <v>0</v>
      </c>
      <c r="E1220" s="674" t="s">
        <v>1016</v>
      </c>
      <c r="F1220" s="674" t="s">
        <v>968</v>
      </c>
      <c r="H1220">
        <v>999.99900000000002</v>
      </c>
      <c r="J1220" s="1" t="s">
        <v>770</v>
      </c>
      <c r="K1220">
        <v>107028909</v>
      </c>
      <c r="L1220" s="2">
        <v>44769</v>
      </c>
      <c r="M1220">
        <v>21</v>
      </c>
      <c r="N1220">
        <v>1</v>
      </c>
      <c r="O1220">
        <v>8</v>
      </c>
      <c r="P1220">
        <v>1</v>
      </c>
      <c r="Q1220" t="s">
        <v>7</v>
      </c>
    </row>
    <row r="1221" spans="1:22">
      <c r="A1221" t="s">
        <v>754</v>
      </c>
      <c r="B1221" s="672" t="s">
        <v>962</v>
      </c>
      <c r="C1221">
        <v>0</v>
      </c>
      <c r="E1221" s="674" t="s">
        <v>1016</v>
      </c>
      <c r="F1221" s="674" t="s">
        <v>968</v>
      </c>
      <c r="H1221">
        <v>999.99900000000002</v>
      </c>
      <c r="J1221" s="1" t="s">
        <v>770</v>
      </c>
      <c r="K1221">
        <v>108534584</v>
      </c>
      <c r="L1221" s="2">
        <v>46190</v>
      </c>
      <c r="M1221">
        <v>28</v>
      </c>
      <c r="N1221">
        <v>1</v>
      </c>
      <c r="O1221">
        <v>0</v>
      </c>
      <c r="P1221">
        <v>1</v>
      </c>
      <c r="Q1221" t="s">
        <v>3</v>
      </c>
      <c r="R1221">
        <v>35.177000999999997</v>
      </c>
      <c r="S1221">
        <v>-79.434970000000007</v>
      </c>
      <c r="T1221" t="s">
        <v>755</v>
      </c>
      <c r="U1221" t="s">
        <v>367</v>
      </c>
      <c r="V1221">
        <v>0.40450000000000003</v>
      </c>
    </row>
    <row r="1222" spans="1:22">
      <c r="A1222" t="s">
        <v>754</v>
      </c>
      <c r="B1222" s="672" t="s">
        <v>962</v>
      </c>
      <c r="C1222">
        <v>0</v>
      </c>
      <c r="E1222" s="674" t="s">
        <v>1012</v>
      </c>
      <c r="F1222" t="s">
        <v>1013</v>
      </c>
      <c r="H1222">
        <v>999.99900000000002</v>
      </c>
      <c r="J1222" s="1" t="s">
        <v>770</v>
      </c>
      <c r="K1222">
        <v>107958129</v>
      </c>
      <c r="L1222" s="2">
        <v>45630</v>
      </c>
      <c r="M1222">
        <v>24</v>
      </c>
      <c r="N1222">
        <v>1</v>
      </c>
      <c r="O1222">
        <v>8</v>
      </c>
      <c r="P1222">
        <v>1</v>
      </c>
      <c r="Q1222" t="s">
        <v>7</v>
      </c>
      <c r="R1222">
        <v>35.177000999999997</v>
      </c>
      <c r="S1222">
        <v>-79.434970000000007</v>
      </c>
      <c r="T1222" t="s">
        <v>761</v>
      </c>
      <c r="U1222" t="s">
        <v>367</v>
      </c>
      <c r="V1222">
        <v>0.40450000000000003</v>
      </c>
    </row>
    <row r="1223" spans="1:22">
      <c r="A1223" t="s">
        <v>970</v>
      </c>
      <c r="B1223" t="s">
        <v>983</v>
      </c>
      <c r="C1223">
        <v>3.0000000000000001E-3</v>
      </c>
      <c r="D1223" t="s">
        <v>757</v>
      </c>
      <c r="E1223" s="672" t="s">
        <v>965</v>
      </c>
      <c r="F1223" t="s">
        <v>971</v>
      </c>
      <c r="H1223">
        <v>999.99900000000002</v>
      </c>
      <c r="J1223" s="1" t="s">
        <v>770</v>
      </c>
      <c r="K1223">
        <v>106536725</v>
      </c>
      <c r="L1223" s="2">
        <v>44291</v>
      </c>
      <c r="M1223">
        <v>30</v>
      </c>
      <c r="N1223">
        <v>1</v>
      </c>
      <c r="O1223">
        <v>0</v>
      </c>
      <c r="P1223">
        <v>1</v>
      </c>
      <c r="Q1223" t="s">
        <v>7</v>
      </c>
    </row>
    <row r="1224" spans="1:22">
      <c r="A1224" t="s">
        <v>1021</v>
      </c>
      <c r="B1224" s="674" t="s">
        <v>1075</v>
      </c>
      <c r="C1224">
        <v>1.0999999999999999E-2</v>
      </c>
      <c r="D1224" t="s">
        <v>757</v>
      </c>
      <c r="E1224" s="672" t="s">
        <v>965</v>
      </c>
      <c r="H1224">
        <v>999.99900000000002</v>
      </c>
      <c r="J1224" s="1" t="s">
        <v>770</v>
      </c>
      <c r="K1224">
        <v>106372333</v>
      </c>
      <c r="L1224" s="2">
        <v>44090</v>
      </c>
      <c r="M1224">
        <v>21</v>
      </c>
      <c r="N1224">
        <v>1</v>
      </c>
      <c r="O1224">
        <v>0</v>
      </c>
      <c r="P1224">
        <v>1</v>
      </c>
      <c r="Q1224" t="s">
        <v>7</v>
      </c>
    </row>
    <row r="1225" spans="1:22">
      <c r="A1225" t="s">
        <v>1021</v>
      </c>
      <c r="B1225" s="675" t="s">
        <v>964</v>
      </c>
      <c r="C1225">
        <v>0</v>
      </c>
      <c r="E1225" s="675" t="s">
        <v>1109</v>
      </c>
      <c r="F1225" s="675" t="s">
        <v>964</v>
      </c>
      <c r="H1225">
        <v>999.99900000000002</v>
      </c>
      <c r="J1225" s="1" t="s">
        <v>770</v>
      </c>
      <c r="K1225">
        <v>105881672</v>
      </c>
      <c r="L1225" s="2">
        <v>43589</v>
      </c>
      <c r="M1225">
        <v>25</v>
      </c>
      <c r="N1225">
        <v>1</v>
      </c>
      <c r="O1225">
        <v>10</v>
      </c>
      <c r="P1225">
        <v>1</v>
      </c>
      <c r="Q1225" t="s">
        <v>7</v>
      </c>
    </row>
  </sheetData>
  <sheetProtection formatCells="0" formatColumns="0" formatRows="0" insertColumns="0" insertRows="0" insertHyperlinks="0" sort="0" autoFilter="0" pivotTables="0"/>
  <sortState xmlns:xlrd2="http://schemas.microsoft.com/office/spreadsheetml/2017/richdata2" ref="A178:AB1225">
    <sortCondition ref="J178:J1225" customList="IS,?,NIS"/>
    <sortCondition ref="G178:G1225"/>
    <sortCondition ref="H178:H1225"/>
    <sortCondition ref="B178:B1225"/>
    <sortCondition ref="E178:E1225"/>
    <sortCondition ref="F178:F1225"/>
    <sortCondition ref="M178:M1225"/>
    <sortCondition ref="K178:K1225"/>
  </sortState>
  <phoneticPr fontId="44" type="noConversion"/>
  <hyperlinks>
    <hyperlink ref="U14" r:id="rId1" xr:uid="{00000000-0004-0000-0900-000000000000}"/>
    <hyperlink ref="U66" r:id="rId2" xr:uid="{00000000-0004-0000-0900-000001000000}"/>
    <hyperlink ref="U202" r:id="rId3" xr:uid="{00000000-0004-0000-0900-000002000000}"/>
    <hyperlink ref="U330" r:id="rId4" xr:uid="{00000000-0004-0000-0900-000003000000}"/>
    <hyperlink ref="U337" r:id="rId5" xr:uid="{00000000-0004-0000-0900-000004000000}"/>
    <hyperlink ref="U395" r:id="rId6" xr:uid="{00000000-0004-0000-0900-000005000000}"/>
    <hyperlink ref="U402" r:id="rId7" xr:uid="{00000000-0004-0000-0900-000006000000}"/>
    <hyperlink ref="U407" r:id="rId8" xr:uid="{00000000-0004-0000-0900-000007000000}"/>
    <hyperlink ref="U408" r:id="rId9" xr:uid="{00000000-0004-0000-0900-000008000000}"/>
    <hyperlink ref="U411" r:id="rId10" xr:uid="{00000000-0004-0000-0900-000009000000}"/>
    <hyperlink ref="U415" r:id="rId11" xr:uid="{00000000-0004-0000-0900-00000A000000}"/>
    <hyperlink ref="U418" r:id="rId12" xr:uid="{00000000-0004-0000-0900-00000B000000}"/>
    <hyperlink ref="U419" r:id="rId13" xr:uid="{00000000-0004-0000-0900-00000C000000}"/>
    <hyperlink ref="U420" r:id="rId14" xr:uid="{00000000-0004-0000-0900-00000D000000}"/>
    <hyperlink ref="U423" r:id="rId15" xr:uid="{00000000-0004-0000-0900-00000E000000}"/>
    <hyperlink ref="U427" r:id="rId16" xr:uid="{00000000-0004-0000-0900-00000F000000}"/>
    <hyperlink ref="U428" r:id="rId17" xr:uid="{00000000-0004-0000-0900-000010000000}"/>
    <hyperlink ref="U123" r:id="rId18" xr:uid="{00000000-0004-0000-0900-000011000000}"/>
    <hyperlink ref="U458" r:id="rId19" xr:uid="{00000000-0004-0000-0900-000012000000}"/>
    <hyperlink ref="U460" r:id="rId20" xr:uid="{00000000-0004-0000-0900-000013000000}"/>
    <hyperlink ref="U461" r:id="rId21" xr:uid="{00000000-0004-0000-0900-000014000000}"/>
    <hyperlink ref="U464" r:id="rId22" xr:uid="{00000000-0004-0000-0900-000015000000}"/>
    <hyperlink ref="U466" r:id="rId23" xr:uid="{00000000-0004-0000-0900-000016000000}"/>
    <hyperlink ref="U467" r:id="rId24" xr:uid="{00000000-0004-0000-0900-000017000000}"/>
    <hyperlink ref="U469" r:id="rId25" xr:uid="{00000000-0004-0000-0900-000018000000}"/>
    <hyperlink ref="U470" r:id="rId26" xr:uid="{00000000-0004-0000-0900-000019000000}"/>
    <hyperlink ref="U497" r:id="rId27" xr:uid="{00000000-0004-0000-0900-00001A000000}"/>
    <hyperlink ref="U602" r:id="rId28" xr:uid="{00000000-0004-0000-0900-00001B000000}"/>
    <hyperlink ref="U606" r:id="rId29" xr:uid="{00000000-0004-0000-0900-00001C000000}"/>
    <hyperlink ref="U691" r:id="rId30" xr:uid="{00000000-0004-0000-0900-00001D000000}"/>
    <hyperlink ref="U893" r:id="rId31" xr:uid="{00000000-0004-0000-0900-00001E000000}"/>
    <hyperlink ref="U979" r:id="rId32" xr:uid="{00000000-0004-0000-0900-00001F000000}"/>
    <hyperlink ref="U980" r:id="rId33" xr:uid="{00000000-0004-0000-0900-000020000000}"/>
    <hyperlink ref="U983" r:id="rId34" xr:uid="{00000000-0004-0000-0900-000021000000}"/>
    <hyperlink ref="U985" r:id="rId35" xr:uid="{00000000-0004-0000-0900-000022000000}"/>
    <hyperlink ref="U995" r:id="rId36" xr:uid="{00000000-0004-0000-0900-000023000000}"/>
    <hyperlink ref="U996" r:id="rId37" xr:uid="{00000000-0004-0000-0900-000024000000}"/>
    <hyperlink ref="U1048" r:id="rId38" xr:uid="{00000000-0004-0000-0900-000025000000}"/>
    <hyperlink ref="U1064" r:id="rId39" xr:uid="{00000000-0004-0000-0900-000026000000}"/>
    <hyperlink ref="U1096" r:id="rId40" xr:uid="{00000000-0004-0000-0900-000027000000}"/>
    <hyperlink ref="U1121" r:id="rId41" xr:uid="{00000000-0004-0000-0900-000028000000}"/>
    <hyperlink ref="U1215" r:id="rId42" xr:uid="{00000000-0004-0000-0900-000029000000}"/>
    <hyperlink ref="U1217" r:id="rId43" xr:uid="{00000000-0004-0000-0900-00002A000000}"/>
    <hyperlink ref="U1221" r:id="rId44" xr:uid="{00000000-0004-0000-0900-00002B000000}"/>
    <hyperlink ref="U1222" r:id="rId45" xr:uid="{00000000-0004-0000-0900-00002C000000}"/>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D5DF6-C14B-4A9C-AF8D-BE77476CB822}">
  <sheetPr codeName="Sheet11"/>
  <dimension ref="A1:AS1010"/>
  <sheetViews>
    <sheetView workbookViewId="0">
      <selection activeCell="J5" sqref="J5"/>
    </sheetView>
  </sheetViews>
  <sheetFormatPr defaultColWidth="9.15625" defaultRowHeight="14.4"/>
  <cols>
    <col min="1" max="1" width="10" style="207" bestFit="1" customWidth="1"/>
    <col min="2" max="2" width="10.734375" style="322" bestFit="1" customWidth="1"/>
    <col min="3" max="7" width="3.5234375" style="207" customWidth="1"/>
    <col min="8" max="8" width="11" style="98" customWidth="1"/>
    <col min="9" max="10" width="9.47265625" style="98" customWidth="1"/>
    <col min="11" max="11" width="8.47265625" style="98" customWidth="1"/>
    <col min="12" max="12" width="9.15625" style="323"/>
    <col min="13" max="13" width="9.15625" style="324"/>
    <col min="14" max="14" width="9.15625" style="325" hidden="1" customWidth="1"/>
    <col min="15" max="15" width="2.26171875" style="292" customWidth="1"/>
    <col min="16" max="16" width="7.26171875" style="207" bestFit="1" customWidth="1"/>
    <col min="17" max="17" width="5.7890625" style="207" bestFit="1" customWidth="1"/>
    <col min="18" max="20" width="9.15625" style="207"/>
    <col min="21" max="22" width="9.15625" style="324"/>
    <col min="23" max="24" width="9.15625" style="324" hidden="1" customWidth="1"/>
    <col min="25" max="25" width="2.26171875" style="98" customWidth="1"/>
    <col min="26" max="26" width="5.47265625" style="98" bestFit="1" customWidth="1"/>
    <col min="27" max="27" width="5.5234375" style="98" customWidth="1"/>
    <col min="28" max="30" width="9.15625" style="98"/>
    <col min="31" max="31" width="10.26171875" style="98" hidden="1" customWidth="1"/>
    <col min="32" max="32" width="11.734375" style="98" customWidth="1"/>
    <col min="33" max="33" width="13.26171875" style="98" customWidth="1"/>
    <col min="34" max="35" width="9.15625" style="98"/>
    <col min="36" max="43" width="9.15625" style="98" customWidth="1"/>
    <col min="44" max="45" width="9.15625" hidden="1" customWidth="1"/>
    <col min="46" max="16384" width="9.15625" style="98"/>
  </cols>
  <sheetData>
    <row r="1" spans="1:45" ht="37.5" customHeight="1" thickBot="1">
      <c r="A1" s="779" t="s">
        <v>129</v>
      </c>
      <c r="B1" s="780"/>
      <c r="C1" s="780"/>
      <c r="D1" s="780"/>
      <c r="E1" s="780"/>
      <c r="F1" s="780"/>
      <c r="G1" s="780"/>
      <c r="H1" s="780"/>
      <c r="I1" s="780"/>
      <c r="J1" s="780"/>
      <c r="K1" s="780"/>
      <c r="L1" s="780"/>
      <c r="M1" s="780"/>
      <c r="N1" s="780"/>
      <c r="O1" s="265"/>
      <c r="P1" s="769" t="s">
        <v>130</v>
      </c>
      <c r="Q1" s="770"/>
      <c r="R1" s="770"/>
      <c r="S1" s="770"/>
      <c r="T1" s="770"/>
      <c r="U1" s="770"/>
      <c r="V1" s="770"/>
      <c r="W1" s="770"/>
      <c r="X1" s="770"/>
      <c r="Y1" s="771"/>
      <c r="Z1" s="771"/>
      <c r="AA1" s="771"/>
      <c r="AB1" s="771"/>
      <c r="AC1" s="771"/>
      <c r="AD1" s="771"/>
      <c r="AE1" s="771"/>
      <c r="AF1" s="771"/>
      <c r="AG1" s="772"/>
    </row>
    <row r="2" spans="1:45" s="97" customFormat="1" ht="18" customHeight="1" thickBot="1">
      <c r="A2" s="775" t="str">
        <f>"Before Period ("&amp;TEXT('Evaluation Set-up'!D9, "mm/dd/yy")&amp;" - "&amp;TEXT('Evaluation Set-up'!E9, "mm/dd/yy")&amp;")"</f>
        <v>Before Period (04/01/17 - 04/30/21)</v>
      </c>
      <c r="B2" s="776"/>
      <c r="C2" s="776"/>
      <c r="D2" s="776"/>
      <c r="E2" s="776"/>
      <c r="F2" s="776"/>
      <c r="G2" s="776"/>
      <c r="H2" s="776"/>
      <c r="I2" s="776"/>
      <c r="J2" s="776"/>
      <c r="K2" s="776"/>
      <c r="L2" s="776"/>
      <c r="M2" s="776"/>
      <c r="N2" s="266"/>
      <c r="O2" s="267"/>
      <c r="P2" s="777" t="s">
        <v>11</v>
      </c>
      <c r="Q2" s="767" t="s">
        <v>30</v>
      </c>
      <c r="R2" s="767" t="s">
        <v>12</v>
      </c>
      <c r="S2" s="767" t="s">
        <v>50</v>
      </c>
      <c r="T2" s="767" t="s">
        <v>51</v>
      </c>
      <c r="U2" s="767" t="s">
        <v>52</v>
      </c>
      <c r="V2" s="767" t="s">
        <v>53</v>
      </c>
      <c r="W2" s="767" t="s">
        <v>368</v>
      </c>
      <c r="X2" s="773" t="s">
        <v>53</v>
      </c>
      <c r="Y2" s="268"/>
      <c r="AR2" s="257"/>
      <c r="AS2" s="257"/>
    </row>
    <row r="3" spans="1:45" ht="14.7" thickBot="1">
      <c r="A3" s="269" t="s">
        <v>0</v>
      </c>
      <c r="B3" s="271" t="s">
        <v>1</v>
      </c>
      <c r="C3" s="271" t="s">
        <v>2</v>
      </c>
      <c r="D3" s="271" t="s">
        <v>3</v>
      </c>
      <c r="E3" s="271" t="s">
        <v>4</v>
      </c>
      <c r="F3" s="271" t="s">
        <v>5</v>
      </c>
      <c r="G3" s="272" t="s">
        <v>6</v>
      </c>
      <c r="H3" s="269" t="s">
        <v>777</v>
      </c>
      <c r="I3" s="269" t="s">
        <v>778</v>
      </c>
      <c r="J3" s="269" t="s">
        <v>779</v>
      </c>
      <c r="K3" s="269" t="s">
        <v>716</v>
      </c>
      <c r="L3" s="273" t="s">
        <v>57</v>
      </c>
      <c r="M3" s="274" t="s">
        <v>58</v>
      </c>
      <c r="N3" s="275" t="s">
        <v>369</v>
      </c>
      <c r="O3" s="276"/>
      <c r="P3" s="778"/>
      <c r="Q3" s="768"/>
      <c r="R3" s="768"/>
      <c r="S3" s="768"/>
      <c r="T3" s="768"/>
      <c r="U3" s="768"/>
      <c r="V3" s="768"/>
      <c r="W3" s="768"/>
      <c r="X3" s="774"/>
      <c r="Y3" s="277"/>
      <c r="AB3" s="278" t="s">
        <v>13</v>
      </c>
      <c r="AC3" s="279" t="s">
        <v>47</v>
      </c>
      <c r="AD3" s="280" t="s">
        <v>49</v>
      </c>
      <c r="AE3" s="281" t="s">
        <v>370</v>
      </c>
      <c r="AF3" s="282" t="s">
        <v>60</v>
      </c>
      <c r="AR3" t="s">
        <v>11</v>
      </c>
      <c r="AS3" t="s">
        <v>62</v>
      </c>
    </row>
    <row r="4" spans="1:45">
      <c r="A4" s="283">
        <v>104999009</v>
      </c>
      <c r="B4" s="284">
        <v>42739</v>
      </c>
      <c r="C4" s="285">
        <v>30</v>
      </c>
      <c r="D4" s="285">
        <v>1</v>
      </c>
      <c r="E4" s="285">
        <v>4</v>
      </c>
      <c r="F4" s="285">
        <v>1</v>
      </c>
      <c r="G4" s="286" t="s">
        <v>7</v>
      </c>
      <c r="H4" s="288" t="s">
        <v>1242</v>
      </c>
      <c r="I4" s="287" t="s">
        <v>771</v>
      </c>
      <c r="J4" s="287" t="s">
        <v>1238</v>
      </c>
      <c r="K4" s="288" t="s">
        <v>722</v>
      </c>
      <c r="L4" s="289"/>
      <c r="M4" s="290"/>
      <c r="N4" s="291"/>
      <c r="P4" s="193">
        <f>IF(R4 = "", "", COUNT(R$4:$R4))</f>
        <v>1</v>
      </c>
      <c r="Q4" s="193">
        <f t="shared" ref="Q4:Q67" si="0">IF(C4 &gt; 0, YEAR(B4), "")</f>
        <v>2017</v>
      </c>
      <c r="R4" s="194">
        <f t="shared" ref="R4:R67" si="1">IF(A4="", "", IF(G4="",1,IF(G4="O",1,IF(G4="C",8.4,IF(G4="B",8.4,IF(G4="A",76.8,IF(G4="K",76.8,"ERR")))))))</f>
        <v>1</v>
      </c>
      <c r="S4" s="195" t="str">
        <f>IF(L4&lt;&gt;"",R4,"")</f>
        <v/>
      </c>
      <c r="T4" s="196" t="str">
        <f>IF(IF(L4&lt;&gt;"",G4,"")=0, "O", IF(L4&lt;&gt;"",G4,""))</f>
        <v/>
      </c>
      <c r="U4" s="197" t="str">
        <f>IF(M4&lt;&gt;"",R4,"")</f>
        <v/>
      </c>
      <c r="V4" s="198" t="str">
        <f t="shared" ref="V4:V67" si="2">IF(IF(M4&lt;&gt;"",G4,"")=0, "O", IF(M4&lt;&gt;"",G4,""))</f>
        <v/>
      </c>
      <c r="W4" s="339" t="str">
        <f>IF(N4&lt;&gt;"",R4,"")</f>
        <v/>
      </c>
      <c r="X4" s="341" t="str">
        <f>IF(IF(N4&lt;&gt;"",G4,"")=0, "O", IF(N4&lt;&gt;"",G4,""))</f>
        <v/>
      </c>
      <c r="Y4" s="277"/>
      <c r="AA4" s="293" t="s">
        <v>9</v>
      </c>
      <c r="AB4" s="326">
        <f>COUNTIF($G$4:$G$1048576,$AA4)</f>
        <v>0</v>
      </c>
      <c r="AC4" s="327">
        <f>COUNTIF($T$4:$T$1048576,$AA4)</f>
        <v>0</v>
      </c>
      <c r="AD4" s="328">
        <f>COUNTIF($V$4:$V$1048576,$AA4)</f>
        <v>0</v>
      </c>
      <c r="AE4" s="329">
        <f>COUNTIF($X$4:$X$1048576,$AA4)</f>
        <v>0</v>
      </c>
      <c r="AF4" s="330">
        <f>COUNTIF($T:$T, AA4)+COUNTIF($V:$V, AA4)+COUNTIF($X:$X, AA4)-COUNTIFS($T:$T, AA4, $V:$V, AA4,$X:$X,AA4)</f>
        <v>0</v>
      </c>
      <c r="AR4">
        <f>IF(P4&gt;0, P4, "")</f>
        <v>1</v>
      </c>
      <c r="AS4" t="str">
        <f>IF(OR(L4="Y",M4="Y",N4="Y"),"Y","")</f>
        <v/>
      </c>
    </row>
    <row r="5" spans="1:45">
      <c r="A5" s="294">
        <v>105125296</v>
      </c>
      <c r="B5" s="295">
        <v>42878</v>
      </c>
      <c r="C5" s="296">
        <v>30</v>
      </c>
      <c r="D5" s="296">
        <v>2</v>
      </c>
      <c r="E5" s="296">
        <v>7</v>
      </c>
      <c r="F5" s="296">
        <v>1</v>
      </c>
      <c r="G5" s="297" t="s">
        <v>7</v>
      </c>
      <c r="H5" s="288" t="s">
        <v>1254</v>
      </c>
      <c r="I5" s="298" t="s">
        <v>772</v>
      </c>
      <c r="J5" s="287" t="s">
        <v>781</v>
      </c>
      <c r="K5" s="299" t="s">
        <v>722</v>
      </c>
      <c r="L5" s="289" t="s">
        <v>61</v>
      </c>
      <c r="M5" s="300"/>
      <c r="N5" s="301"/>
      <c r="P5" s="193">
        <f>IF(R5 = "", "", COUNT(R$4:$R5))</f>
        <v>2</v>
      </c>
      <c r="Q5" s="193">
        <f t="shared" si="0"/>
        <v>2017</v>
      </c>
      <c r="R5" s="194">
        <f t="shared" si="1"/>
        <v>1</v>
      </c>
      <c r="S5" s="195">
        <f t="shared" ref="S5:S68" si="3">IF(L5&lt;&gt;"",R5,"")</f>
        <v>1</v>
      </c>
      <c r="T5" s="196" t="str">
        <f t="shared" ref="T5:T68" si="4">IF(IF(L5&lt;&gt;"",G5,"")=0, "O", IF(L5&lt;&gt;"",G5,""))</f>
        <v>O</v>
      </c>
      <c r="U5" s="197" t="str">
        <f t="shared" ref="U5:U68" si="5">IF(M5&lt;&gt;"",R5,"")</f>
        <v/>
      </c>
      <c r="V5" s="198" t="str">
        <f t="shared" si="2"/>
        <v/>
      </c>
      <c r="W5" s="339" t="str">
        <f t="shared" ref="W5:W68" si="6">IF(N5&lt;&gt;"",R5,"")</f>
        <v/>
      </c>
      <c r="X5" s="341" t="str">
        <f t="shared" ref="X5:X68" si="7">IF(IF(N5&lt;&gt;"",G5,"")=0, "O", IF(N5&lt;&gt;"",G5,""))</f>
        <v/>
      </c>
      <c r="Y5" s="277"/>
      <c r="AA5" s="293" t="s">
        <v>10</v>
      </c>
      <c r="AB5" s="326">
        <f>COUNTIF($G$4:$G$1048576,$AA5)</f>
        <v>0</v>
      </c>
      <c r="AC5" s="327">
        <f>COUNTIF($T$4:$T$1048576,$AA5)</f>
        <v>0</v>
      </c>
      <c r="AD5" s="328">
        <f>COUNTIF($V$4:$V$1048576,$AA5)</f>
        <v>0</v>
      </c>
      <c r="AE5" s="329">
        <f>COUNTIF($X$4:$X$1048576,$AA5)</f>
        <v>0</v>
      </c>
      <c r="AF5" s="330">
        <f t="shared" ref="AF5:AF8" si="8">COUNTIF($T:$T, AA5)+COUNTIF($V:$V, AA5)+COUNTIF($X:$X, AA5)-COUNTIFS($T:$T, AA5, $V:$V, AA5,$X:$X,AA5)</f>
        <v>0</v>
      </c>
      <c r="AR5">
        <f t="shared" ref="AR5:AR68" si="9">IF(P5&gt;0, P5, "")</f>
        <v>2</v>
      </c>
      <c r="AS5" t="str">
        <f t="shared" ref="AS5:AS68" si="10">IF(OR(L5="Y",M5="Y",N5="Y"),"Y","")</f>
        <v>Y</v>
      </c>
    </row>
    <row r="6" spans="1:45">
      <c r="A6" s="294">
        <v>105186073</v>
      </c>
      <c r="B6" s="295">
        <v>42944</v>
      </c>
      <c r="C6" s="296">
        <v>19</v>
      </c>
      <c r="D6" s="296">
        <v>2</v>
      </c>
      <c r="E6" s="296">
        <v>7</v>
      </c>
      <c r="F6" s="296">
        <v>2</v>
      </c>
      <c r="G6" s="297" t="s">
        <v>7</v>
      </c>
      <c r="H6" s="288" t="s">
        <v>1294</v>
      </c>
      <c r="I6" s="298" t="s">
        <v>1240</v>
      </c>
      <c r="J6" s="298"/>
      <c r="K6" s="299" t="s">
        <v>310</v>
      </c>
      <c r="L6" s="289"/>
      <c r="M6" s="300"/>
      <c r="N6" s="301"/>
      <c r="P6" s="193">
        <f>IF(R6 = "", "", COUNT(R$4:$R6))</f>
        <v>3</v>
      </c>
      <c r="Q6" s="193">
        <f t="shared" si="0"/>
        <v>2017</v>
      </c>
      <c r="R6" s="194">
        <f t="shared" si="1"/>
        <v>1</v>
      </c>
      <c r="S6" s="195" t="str">
        <f t="shared" si="3"/>
        <v/>
      </c>
      <c r="T6" s="196" t="str">
        <f t="shared" si="4"/>
        <v/>
      </c>
      <c r="U6" s="197" t="str">
        <f t="shared" si="5"/>
        <v/>
      </c>
      <c r="V6" s="198" t="str">
        <f t="shared" si="2"/>
        <v/>
      </c>
      <c r="W6" s="339" t="str">
        <f t="shared" si="6"/>
        <v/>
      </c>
      <c r="X6" s="341" t="str">
        <f t="shared" si="7"/>
        <v/>
      </c>
      <c r="Y6" s="277"/>
      <c r="AA6" s="293" t="s">
        <v>8</v>
      </c>
      <c r="AB6" s="326">
        <f>COUNTIF($G$4:$G$1048576,$AA6)</f>
        <v>0</v>
      </c>
      <c r="AC6" s="327">
        <f>COUNTIF($T$4:$T$1048576,$AA6)</f>
        <v>0</v>
      </c>
      <c r="AD6" s="328">
        <f>COUNTIF($V$4:$V$1048576,$AA6)</f>
        <v>0</v>
      </c>
      <c r="AE6" s="329">
        <f>COUNTIF($X$4:$X$1048576,$AA6)</f>
        <v>0</v>
      </c>
      <c r="AF6" s="330">
        <f t="shared" si="8"/>
        <v>0</v>
      </c>
      <c r="AR6">
        <f t="shared" si="9"/>
        <v>3</v>
      </c>
      <c r="AS6" t="str">
        <f t="shared" si="10"/>
        <v/>
      </c>
    </row>
    <row r="7" spans="1:45">
      <c r="A7" s="294">
        <v>105233216</v>
      </c>
      <c r="B7" s="295">
        <v>42985</v>
      </c>
      <c r="C7" s="296">
        <v>26</v>
      </c>
      <c r="D7" s="296">
        <v>1</v>
      </c>
      <c r="E7" s="296">
        <v>7</v>
      </c>
      <c r="F7" s="296">
        <v>1</v>
      </c>
      <c r="G7" s="297" t="s">
        <v>7</v>
      </c>
      <c r="H7" s="299" t="s">
        <v>1317</v>
      </c>
      <c r="I7" s="298" t="s">
        <v>1318</v>
      </c>
      <c r="J7" s="298" t="s">
        <v>771</v>
      </c>
      <c r="K7" s="299" t="s">
        <v>721</v>
      </c>
      <c r="L7" s="289"/>
      <c r="M7" s="300"/>
      <c r="N7" s="301"/>
      <c r="P7" s="193">
        <f>IF(R7 = "", "", COUNT(R$4:$R7))</f>
        <v>4</v>
      </c>
      <c r="Q7" s="193">
        <f t="shared" si="0"/>
        <v>2017</v>
      </c>
      <c r="R7" s="194">
        <f t="shared" si="1"/>
        <v>1</v>
      </c>
      <c r="S7" s="195" t="str">
        <f>IF(L7&lt;&gt;"",R7,"")</f>
        <v/>
      </c>
      <c r="T7" s="196" t="str">
        <f t="shared" si="4"/>
        <v/>
      </c>
      <c r="U7" s="197" t="str">
        <f t="shared" si="5"/>
        <v/>
      </c>
      <c r="V7" s="198" t="str">
        <f t="shared" si="2"/>
        <v/>
      </c>
      <c r="W7" s="339" t="str">
        <f t="shared" si="6"/>
        <v/>
      </c>
      <c r="X7" s="341" t="str">
        <f t="shared" si="7"/>
        <v/>
      </c>
      <c r="Y7" s="277"/>
      <c r="AA7" s="293" t="s">
        <v>3</v>
      </c>
      <c r="AB7" s="326">
        <f>COUNTIF($G$4:$G$1048576,$AA7)</f>
        <v>5</v>
      </c>
      <c r="AC7" s="327">
        <f>COUNTIF($T$4:$T$1048576,$AA7)</f>
        <v>2</v>
      </c>
      <c r="AD7" s="328">
        <f>COUNTIF($V$4:$V$1048576,$AA7)</f>
        <v>0</v>
      </c>
      <c r="AE7" s="329">
        <f>COUNTIF($X$4:$X$1048576,$AA7)</f>
        <v>0</v>
      </c>
      <c r="AF7" s="330">
        <f t="shared" si="8"/>
        <v>2</v>
      </c>
      <c r="AR7">
        <f t="shared" si="9"/>
        <v>4</v>
      </c>
      <c r="AS7" t="str">
        <f t="shared" si="10"/>
        <v/>
      </c>
    </row>
    <row r="8" spans="1:45">
      <c r="A8" s="294">
        <v>105329607</v>
      </c>
      <c r="B8" s="295">
        <v>43070</v>
      </c>
      <c r="C8" s="296">
        <v>30</v>
      </c>
      <c r="D8" s="296">
        <v>1</v>
      </c>
      <c r="E8" s="296"/>
      <c r="F8" s="296">
        <v>1</v>
      </c>
      <c r="G8" s="297" t="s">
        <v>7</v>
      </c>
      <c r="H8" s="288" t="s">
        <v>1252</v>
      </c>
      <c r="I8" s="298" t="s">
        <v>774</v>
      </c>
      <c r="J8" s="298" t="s">
        <v>771</v>
      </c>
      <c r="K8" s="299" t="s">
        <v>723</v>
      </c>
      <c r="L8" s="289"/>
      <c r="M8" s="300"/>
      <c r="N8" s="301"/>
      <c r="P8" s="193">
        <f>IF(R8 = "", "", COUNT(R$4:$R8))</f>
        <v>5</v>
      </c>
      <c r="Q8" s="193">
        <f t="shared" si="0"/>
        <v>2017</v>
      </c>
      <c r="R8" s="194">
        <f t="shared" si="1"/>
        <v>1</v>
      </c>
      <c r="S8" s="195" t="str">
        <f t="shared" si="3"/>
        <v/>
      </c>
      <c r="T8" s="196" t="str">
        <f t="shared" si="4"/>
        <v/>
      </c>
      <c r="U8" s="197" t="str">
        <f t="shared" si="5"/>
        <v/>
      </c>
      <c r="V8" s="198" t="str">
        <f t="shared" si="2"/>
        <v/>
      </c>
      <c r="W8" s="339" t="str">
        <f t="shared" si="6"/>
        <v/>
      </c>
      <c r="X8" s="341" t="str">
        <f t="shared" si="7"/>
        <v/>
      </c>
      <c r="Y8" s="277"/>
      <c r="AA8" s="293" t="s">
        <v>7</v>
      </c>
      <c r="AB8" s="326">
        <f>COUNTIF($G$4:$G$1048576,$AA8)+COUNTIFS($G$4:$G$1048576, "", $P$4:$P$1048576, "&gt;0")</f>
        <v>15</v>
      </c>
      <c r="AC8" s="327">
        <f>COUNTIF($T$4:$T$1048576,$AA8)</f>
        <v>2</v>
      </c>
      <c r="AD8" s="328">
        <f>COUNTIF($V$4:$V$1048576,$AA8)</f>
        <v>0</v>
      </c>
      <c r="AE8" s="329">
        <f>COUNTIF($X$4:$X$1048576,$AA8)</f>
        <v>0</v>
      </c>
      <c r="AF8" s="330">
        <f t="shared" si="8"/>
        <v>2</v>
      </c>
      <c r="AR8">
        <f t="shared" si="9"/>
        <v>5</v>
      </c>
      <c r="AS8" t="str">
        <f t="shared" si="10"/>
        <v/>
      </c>
    </row>
    <row r="9" spans="1:45">
      <c r="A9" s="294">
        <v>105329610</v>
      </c>
      <c r="B9" s="295">
        <v>43073</v>
      </c>
      <c r="C9" s="296">
        <v>30</v>
      </c>
      <c r="D9" s="296">
        <v>1</v>
      </c>
      <c r="E9" s="296"/>
      <c r="F9" s="296">
        <v>1</v>
      </c>
      <c r="G9" s="297" t="s">
        <v>7</v>
      </c>
      <c r="H9" s="299" t="s">
        <v>1242</v>
      </c>
      <c r="I9" s="298" t="s">
        <v>771</v>
      </c>
      <c r="J9" s="298" t="s">
        <v>1238</v>
      </c>
      <c r="K9" s="299" t="s">
        <v>722</v>
      </c>
      <c r="L9" s="289"/>
      <c r="M9" s="300"/>
      <c r="N9" s="301"/>
      <c r="P9" s="193">
        <f>IF(R9 = "", "", COUNT(R$4:$R9))</f>
        <v>6</v>
      </c>
      <c r="Q9" s="193">
        <f t="shared" si="0"/>
        <v>2017</v>
      </c>
      <c r="R9" s="194">
        <f t="shared" si="1"/>
        <v>1</v>
      </c>
      <c r="S9" s="195" t="str">
        <f t="shared" si="3"/>
        <v/>
      </c>
      <c r="T9" s="196" t="str">
        <f t="shared" si="4"/>
        <v/>
      </c>
      <c r="U9" s="197" t="str">
        <f t="shared" si="5"/>
        <v/>
      </c>
      <c r="V9" s="198" t="str">
        <f t="shared" si="2"/>
        <v/>
      </c>
      <c r="W9" s="339" t="str">
        <f t="shared" si="6"/>
        <v/>
      </c>
      <c r="X9" s="341" t="str">
        <f t="shared" si="7"/>
        <v/>
      </c>
      <c r="Y9" s="277"/>
      <c r="AA9" s="293" t="s">
        <v>13</v>
      </c>
      <c r="AB9" s="326">
        <f>COUNTIF(P4:P1048576, "&gt;0")</f>
        <v>20</v>
      </c>
      <c r="AC9" s="327">
        <f>COUNT(S4:S1048576)</f>
        <v>4</v>
      </c>
      <c r="AD9" s="328">
        <f>COUNT(U4:U1048576)</f>
        <v>0</v>
      </c>
      <c r="AE9" s="329">
        <f>COUNT(W4:W1048576)</f>
        <v>0</v>
      </c>
      <c r="AF9" s="330">
        <f>SUM(AF4:AF8)</f>
        <v>4</v>
      </c>
      <c r="AR9">
        <f t="shared" si="9"/>
        <v>6</v>
      </c>
      <c r="AS9" t="str">
        <f t="shared" si="10"/>
        <v/>
      </c>
    </row>
    <row r="10" spans="1:45">
      <c r="A10" s="294">
        <v>105329614</v>
      </c>
      <c r="B10" s="295">
        <v>43075</v>
      </c>
      <c r="C10" s="296">
        <v>30</v>
      </c>
      <c r="D10" s="296">
        <v>2</v>
      </c>
      <c r="E10" s="296">
        <v>7</v>
      </c>
      <c r="F10" s="296">
        <v>1</v>
      </c>
      <c r="G10" s="297" t="s">
        <v>7</v>
      </c>
      <c r="H10" s="299" t="s">
        <v>1252</v>
      </c>
      <c r="I10" s="298" t="s">
        <v>1240</v>
      </c>
      <c r="J10" s="298" t="s">
        <v>1320</v>
      </c>
      <c r="K10" s="299" t="s">
        <v>723</v>
      </c>
      <c r="L10" s="289"/>
      <c r="M10" s="300"/>
      <c r="N10" s="301"/>
      <c r="P10" s="193">
        <f>IF(R10 = "", "", COUNT(R$4:$R10))</f>
        <v>7</v>
      </c>
      <c r="Q10" s="193">
        <f t="shared" si="0"/>
        <v>2017</v>
      </c>
      <c r="R10" s="194">
        <f t="shared" si="1"/>
        <v>1</v>
      </c>
      <c r="S10" s="195" t="str">
        <f t="shared" si="3"/>
        <v/>
      </c>
      <c r="T10" s="196" t="str">
        <f t="shared" si="4"/>
        <v/>
      </c>
      <c r="U10" s="197" t="str">
        <f t="shared" si="5"/>
        <v/>
      </c>
      <c r="V10" s="198" t="str">
        <f t="shared" si="2"/>
        <v/>
      </c>
      <c r="W10" s="339" t="str">
        <f t="shared" si="6"/>
        <v/>
      </c>
      <c r="X10" s="341" t="str">
        <f t="shared" si="7"/>
        <v/>
      </c>
      <c r="Y10" s="277"/>
      <c r="AA10" s="293" t="s">
        <v>14</v>
      </c>
      <c r="AB10" s="331">
        <f>IFERROR(AVERAGE(R4:R1048576), 0)</f>
        <v>2.85</v>
      </c>
      <c r="AC10" s="332">
        <f>IFERROR(AVERAGE(S4:S1048576),0)</f>
        <v>4.7</v>
      </c>
      <c r="AD10" s="333">
        <f>IFERROR(AVERAGE(U4:U1048576),0)</f>
        <v>0</v>
      </c>
      <c r="AE10" s="334">
        <f>IFERROR(AVERAGE(W4:W1048576),0)</f>
        <v>0</v>
      </c>
      <c r="AF10" s="335">
        <f>IFERROR(AVERAGEIF($AS$4:$AS$1048576,"Y", R4:R1048576 ),0)</f>
        <v>4.7</v>
      </c>
      <c r="AR10">
        <f t="shared" si="9"/>
        <v>7</v>
      </c>
      <c r="AS10" t="str">
        <f t="shared" si="10"/>
        <v/>
      </c>
    </row>
    <row r="11" spans="1:45">
      <c r="A11" s="294">
        <v>105465438</v>
      </c>
      <c r="B11" s="295">
        <v>43209</v>
      </c>
      <c r="C11" s="296">
        <v>21</v>
      </c>
      <c r="D11" s="296">
        <v>1</v>
      </c>
      <c r="E11" s="296">
        <v>0</v>
      </c>
      <c r="F11" s="296">
        <v>1</v>
      </c>
      <c r="G11" s="297" t="s">
        <v>7</v>
      </c>
      <c r="H11" s="299" t="s">
        <v>1219</v>
      </c>
      <c r="I11" s="298" t="s">
        <v>1238</v>
      </c>
      <c r="J11" s="298" t="s">
        <v>1241</v>
      </c>
      <c r="K11" s="299" t="s">
        <v>724</v>
      </c>
      <c r="L11" s="289"/>
      <c r="M11" s="300"/>
      <c r="N11" s="301"/>
      <c r="P11" s="193">
        <f>IF(R11 = "", "", COUNT(R$4:$R11))</f>
        <v>8</v>
      </c>
      <c r="Q11" s="193">
        <f t="shared" si="0"/>
        <v>2018</v>
      </c>
      <c r="R11" s="194">
        <f t="shared" si="1"/>
        <v>1</v>
      </c>
      <c r="S11" s="195" t="str">
        <f t="shared" si="3"/>
        <v/>
      </c>
      <c r="T11" s="196" t="str">
        <f t="shared" si="4"/>
        <v/>
      </c>
      <c r="U11" s="197" t="str">
        <f t="shared" si="5"/>
        <v/>
      </c>
      <c r="V11" s="198" t="str">
        <f t="shared" si="2"/>
        <v/>
      </c>
      <c r="W11" s="339" t="str">
        <f t="shared" si="6"/>
        <v/>
      </c>
      <c r="X11" s="341" t="str">
        <f t="shared" si="7"/>
        <v/>
      </c>
      <c r="Y11" s="277"/>
      <c r="AR11">
        <f t="shared" si="9"/>
        <v>8</v>
      </c>
      <c r="AS11" t="str">
        <f t="shared" si="10"/>
        <v/>
      </c>
    </row>
    <row r="12" spans="1:45">
      <c r="A12" s="294">
        <v>105486834</v>
      </c>
      <c r="B12" s="295">
        <v>43224</v>
      </c>
      <c r="C12" s="296">
        <v>14</v>
      </c>
      <c r="D12" s="296">
        <v>1</v>
      </c>
      <c r="E12" s="296">
        <v>7</v>
      </c>
      <c r="F12" s="296">
        <v>1</v>
      </c>
      <c r="G12" s="297" t="s">
        <v>3</v>
      </c>
      <c r="H12" s="299" t="s">
        <v>1206</v>
      </c>
      <c r="I12" s="298"/>
      <c r="J12" s="298"/>
      <c r="K12" s="299" t="s">
        <v>722</v>
      </c>
      <c r="L12" s="289"/>
      <c r="M12" s="300"/>
      <c r="N12" s="301"/>
      <c r="P12" s="193">
        <f>IF(R12 = "", "", COUNT(R$4:$R12))</f>
        <v>9</v>
      </c>
      <c r="Q12" s="193">
        <f t="shared" si="0"/>
        <v>2018</v>
      </c>
      <c r="R12" s="194">
        <f t="shared" si="1"/>
        <v>8.4</v>
      </c>
      <c r="S12" s="195" t="str">
        <f t="shared" si="3"/>
        <v/>
      </c>
      <c r="T12" s="196" t="str">
        <f t="shared" si="4"/>
        <v/>
      </c>
      <c r="U12" s="197" t="str">
        <f t="shared" si="5"/>
        <v/>
      </c>
      <c r="V12" s="198" t="str">
        <f t="shared" si="2"/>
        <v/>
      </c>
      <c r="W12" s="339" t="str">
        <f t="shared" si="6"/>
        <v/>
      </c>
      <c r="X12" s="341" t="str">
        <f t="shared" si="7"/>
        <v/>
      </c>
      <c r="Y12" s="277"/>
      <c r="AR12">
        <f t="shared" si="9"/>
        <v>9</v>
      </c>
      <c r="AS12" t="str">
        <f t="shared" si="10"/>
        <v/>
      </c>
    </row>
    <row r="13" spans="1:45" ht="14.7" thickBot="1">
      <c r="A13" s="294">
        <v>105611574</v>
      </c>
      <c r="B13" s="295">
        <v>43352</v>
      </c>
      <c r="C13" s="296">
        <v>1</v>
      </c>
      <c r="D13" s="296">
        <v>2</v>
      </c>
      <c r="E13" s="296">
        <v>0</v>
      </c>
      <c r="F13" s="296">
        <v>5</v>
      </c>
      <c r="G13" s="297" t="s">
        <v>7</v>
      </c>
      <c r="H13" s="299" t="s">
        <v>1293</v>
      </c>
      <c r="I13" s="298" t="s">
        <v>774</v>
      </c>
      <c r="J13" s="298"/>
      <c r="K13" s="299" t="s">
        <v>723</v>
      </c>
      <c r="L13" s="289"/>
      <c r="M13" s="300"/>
      <c r="N13" s="301"/>
      <c r="P13" s="193">
        <f>IF(R13 = "", "", COUNT(R$4:$R13))</f>
        <v>10</v>
      </c>
      <c r="Q13" s="193">
        <f t="shared" si="0"/>
        <v>2018</v>
      </c>
      <c r="R13" s="194">
        <f t="shared" si="1"/>
        <v>1</v>
      </c>
      <c r="S13" s="195" t="str">
        <f t="shared" si="3"/>
        <v/>
      </c>
      <c r="T13" s="196" t="str">
        <f t="shared" si="4"/>
        <v/>
      </c>
      <c r="U13" s="197" t="str">
        <f t="shared" si="5"/>
        <v/>
      </c>
      <c r="V13" s="198" t="str">
        <f t="shared" si="2"/>
        <v/>
      </c>
      <c r="W13" s="339" t="str">
        <f t="shared" si="6"/>
        <v/>
      </c>
      <c r="X13" s="341" t="str">
        <f t="shared" si="7"/>
        <v/>
      </c>
      <c r="Y13" s="277"/>
      <c r="AR13">
        <f t="shared" si="9"/>
        <v>10</v>
      </c>
      <c r="AS13" t="str">
        <f t="shared" si="10"/>
        <v/>
      </c>
    </row>
    <row r="14" spans="1:45" ht="14.7" thickBot="1">
      <c r="A14" s="294">
        <v>105682086</v>
      </c>
      <c r="B14" s="295">
        <v>43409</v>
      </c>
      <c r="C14" s="296">
        <v>27</v>
      </c>
      <c r="D14" s="296">
        <v>2</v>
      </c>
      <c r="E14" s="296">
        <v>7</v>
      </c>
      <c r="F14" s="296">
        <v>1</v>
      </c>
      <c r="G14" s="297" t="s">
        <v>3</v>
      </c>
      <c r="H14" s="288" t="s">
        <v>1254</v>
      </c>
      <c r="I14" s="298" t="s">
        <v>772</v>
      </c>
      <c r="J14" s="298" t="s">
        <v>781</v>
      </c>
      <c r="K14" s="299" t="s">
        <v>722</v>
      </c>
      <c r="L14" s="289" t="s">
        <v>61</v>
      </c>
      <c r="M14" s="300"/>
      <c r="N14" s="301"/>
      <c r="P14" s="193">
        <f>IF(R14 = "", "", COUNT(R$4:$R14))</f>
        <v>11</v>
      </c>
      <c r="Q14" s="193">
        <f t="shared" si="0"/>
        <v>2018</v>
      </c>
      <c r="R14" s="194">
        <f t="shared" si="1"/>
        <v>8.4</v>
      </c>
      <c r="S14" s="195">
        <f t="shared" si="3"/>
        <v>8.4</v>
      </c>
      <c r="T14" s="196" t="str">
        <f t="shared" si="4"/>
        <v>C</v>
      </c>
      <c r="U14" s="197" t="str">
        <f t="shared" si="5"/>
        <v/>
      </c>
      <c r="V14" s="198" t="str">
        <f t="shared" si="2"/>
        <v/>
      </c>
      <c r="W14" s="339" t="str">
        <f t="shared" si="6"/>
        <v/>
      </c>
      <c r="X14" s="341" t="str">
        <f t="shared" si="7"/>
        <v/>
      </c>
      <c r="Y14" s="277"/>
      <c r="Z14" s="757" t="s">
        <v>40</v>
      </c>
      <c r="AA14" s="758"/>
      <c r="AB14" s="758"/>
      <c r="AC14" s="758"/>
      <c r="AD14" s="758"/>
      <c r="AE14" s="758"/>
      <c r="AF14" s="758"/>
      <c r="AG14" s="759"/>
      <c r="AR14">
        <f t="shared" si="9"/>
        <v>11</v>
      </c>
      <c r="AS14" t="str">
        <f t="shared" si="10"/>
        <v>Y</v>
      </c>
    </row>
    <row r="15" spans="1:45" ht="15" customHeight="1">
      <c r="A15" s="294">
        <v>105741351</v>
      </c>
      <c r="B15" s="295">
        <v>43453</v>
      </c>
      <c r="C15" s="296">
        <v>28</v>
      </c>
      <c r="D15" s="296">
        <v>1</v>
      </c>
      <c r="E15" s="296">
        <v>7</v>
      </c>
      <c r="F15" s="296">
        <v>1</v>
      </c>
      <c r="G15" s="297" t="s">
        <v>7</v>
      </c>
      <c r="H15" s="299" t="s">
        <v>1295</v>
      </c>
      <c r="I15" s="298" t="s">
        <v>1237</v>
      </c>
      <c r="J15" s="298" t="s">
        <v>1238</v>
      </c>
      <c r="K15" s="299" t="s">
        <v>724</v>
      </c>
      <c r="L15" s="289"/>
      <c r="M15" s="300"/>
      <c r="N15" s="301"/>
      <c r="P15" s="193">
        <f>IF(R15 = "", "", COUNT(R$4:$R15))</f>
        <v>12</v>
      </c>
      <c r="Q15" s="193">
        <f t="shared" si="0"/>
        <v>2018</v>
      </c>
      <c r="R15" s="194">
        <f t="shared" si="1"/>
        <v>1</v>
      </c>
      <c r="S15" s="195" t="str">
        <f t="shared" si="3"/>
        <v/>
      </c>
      <c r="T15" s="196" t="str">
        <f t="shared" si="4"/>
        <v/>
      </c>
      <c r="U15" s="197" t="str">
        <f t="shared" si="5"/>
        <v/>
      </c>
      <c r="V15" s="198" t="str">
        <f t="shared" si="2"/>
        <v/>
      </c>
      <c r="W15" s="339" t="str">
        <f t="shared" si="6"/>
        <v/>
      </c>
      <c r="X15" s="341" t="str">
        <f t="shared" si="7"/>
        <v/>
      </c>
      <c r="Y15" s="277"/>
      <c r="Z15" s="765">
        <v>1</v>
      </c>
      <c r="AA15" s="760" t="s">
        <v>728</v>
      </c>
      <c r="AB15" s="761"/>
      <c r="AC15" s="761"/>
      <c r="AD15" s="761"/>
      <c r="AE15" s="761"/>
      <c r="AF15" s="761"/>
      <c r="AG15" s="762"/>
      <c r="AR15">
        <f t="shared" si="9"/>
        <v>12</v>
      </c>
      <c r="AS15" t="str">
        <f t="shared" si="10"/>
        <v/>
      </c>
    </row>
    <row r="16" spans="1:45" ht="15" customHeight="1">
      <c r="A16" s="294">
        <v>105984052</v>
      </c>
      <c r="B16" s="295">
        <v>43696</v>
      </c>
      <c r="C16" s="296">
        <v>30</v>
      </c>
      <c r="D16" s="296">
        <v>1</v>
      </c>
      <c r="E16" s="296">
        <v>7</v>
      </c>
      <c r="F16" s="296">
        <v>1</v>
      </c>
      <c r="G16" s="297" t="s">
        <v>3</v>
      </c>
      <c r="H16" s="299" t="s">
        <v>1254</v>
      </c>
      <c r="I16" s="298" t="s">
        <v>772</v>
      </c>
      <c r="J16" s="298" t="s">
        <v>781</v>
      </c>
      <c r="K16" s="299" t="s">
        <v>722</v>
      </c>
      <c r="L16" s="289" t="s">
        <v>61</v>
      </c>
      <c r="M16" s="300"/>
      <c r="N16" s="301"/>
      <c r="P16" s="193">
        <f>IF(R16 = "", "", COUNT(R$4:$R16))</f>
        <v>13</v>
      </c>
      <c r="Q16" s="193">
        <f t="shared" si="0"/>
        <v>2019</v>
      </c>
      <c r="R16" s="194">
        <f t="shared" si="1"/>
        <v>8.4</v>
      </c>
      <c r="S16" s="195">
        <f t="shared" si="3"/>
        <v>8.4</v>
      </c>
      <c r="T16" s="196" t="str">
        <f t="shared" si="4"/>
        <v>C</v>
      </c>
      <c r="U16" s="197" t="str">
        <f t="shared" si="5"/>
        <v/>
      </c>
      <c r="V16" s="198" t="str">
        <f t="shared" si="2"/>
        <v/>
      </c>
      <c r="W16" s="339" t="str">
        <f t="shared" si="6"/>
        <v/>
      </c>
      <c r="X16" s="341" t="str">
        <f t="shared" si="7"/>
        <v/>
      </c>
      <c r="Y16" s="277"/>
      <c r="Z16" s="766"/>
      <c r="AA16" s="763"/>
      <c r="AB16" s="727"/>
      <c r="AC16" s="727"/>
      <c r="AD16" s="727"/>
      <c r="AE16" s="727"/>
      <c r="AF16" s="727"/>
      <c r="AG16" s="764"/>
      <c r="AR16">
        <f t="shared" si="9"/>
        <v>13</v>
      </c>
      <c r="AS16" t="str">
        <f t="shared" si="10"/>
        <v>Y</v>
      </c>
    </row>
    <row r="17" spans="1:45">
      <c r="A17" s="294">
        <v>105984439</v>
      </c>
      <c r="B17" s="295">
        <v>43699</v>
      </c>
      <c r="C17" s="296">
        <v>21</v>
      </c>
      <c r="D17" s="296">
        <v>1</v>
      </c>
      <c r="E17" s="296">
        <v>7</v>
      </c>
      <c r="F17" s="296">
        <v>1</v>
      </c>
      <c r="G17" s="297" t="s">
        <v>3</v>
      </c>
      <c r="H17" s="299" t="s">
        <v>1291</v>
      </c>
      <c r="I17" s="298" t="s">
        <v>1320</v>
      </c>
      <c r="J17" s="298" t="s">
        <v>1320</v>
      </c>
      <c r="K17" s="299" t="s">
        <v>722</v>
      </c>
      <c r="L17" s="289"/>
      <c r="M17" s="300"/>
      <c r="N17" s="301"/>
      <c r="P17" s="193">
        <f>IF(R17 = "", "", COUNT(R$4:$R17))</f>
        <v>14</v>
      </c>
      <c r="Q17" s="193">
        <f t="shared" si="0"/>
        <v>2019</v>
      </c>
      <c r="R17" s="194">
        <f t="shared" si="1"/>
        <v>8.4</v>
      </c>
      <c r="S17" s="195" t="str">
        <f t="shared" si="3"/>
        <v/>
      </c>
      <c r="T17" s="196" t="str">
        <f t="shared" si="4"/>
        <v/>
      </c>
      <c r="U17" s="197" t="str">
        <f t="shared" si="5"/>
        <v/>
      </c>
      <c r="V17" s="198" t="str">
        <f t="shared" si="2"/>
        <v/>
      </c>
      <c r="W17" s="339" t="str">
        <f t="shared" si="6"/>
        <v/>
      </c>
      <c r="X17" s="341" t="str">
        <f t="shared" si="7"/>
        <v/>
      </c>
      <c r="Y17" s="277"/>
      <c r="Z17" s="766"/>
      <c r="AA17" s="763"/>
      <c r="AB17" s="727"/>
      <c r="AC17" s="727"/>
      <c r="AD17" s="727"/>
      <c r="AE17" s="727"/>
      <c r="AF17" s="727"/>
      <c r="AG17" s="764"/>
      <c r="AR17">
        <f t="shared" si="9"/>
        <v>14</v>
      </c>
      <c r="AS17" t="str">
        <f t="shared" si="10"/>
        <v/>
      </c>
    </row>
    <row r="18" spans="1:45" ht="15" customHeight="1">
      <c r="A18" s="294">
        <v>106231607</v>
      </c>
      <c r="B18" s="295">
        <v>43901</v>
      </c>
      <c r="C18" s="296">
        <v>28</v>
      </c>
      <c r="D18" s="296">
        <v>1</v>
      </c>
      <c r="E18" s="296">
        <v>7</v>
      </c>
      <c r="F18" s="296">
        <v>1</v>
      </c>
      <c r="G18" s="297" t="s">
        <v>7</v>
      </c>
      <c r="H18" s="299" t="s">
        <v>1226</v>
      </c>
      <c r="I18" s="298" t="s">
        <v>1246</v>
      </c>
      <c r="J18" s="298" t="s">
        <v>774</v>
      </c>
      <c r="K18" s="299" t="s">
        <v>723</v>
      </c>
      <c r="L18" s="289"/>
      <c r="M18" s="300"/>
      <c r="N18" s="301"/>
      <c r="P18" s="193">
        <f>IF(R18 = "", "", COUNT(R$4:$R18))</f>
        <v>15</v>
      </c>
      <c r="Q18" s="193">
        <f t="shared" si="0"/>
        <v>2020</v>
      </c>
      <c r="R18" s="194">
        <f t="shared" si="1"/>
        <v>1</v>
      </c>
      <c r="S18" s="195" t="str">
        <f t="shared" si="3"/>
        <v/>
      </c>
      <c r="T18" s="196" t="str">
        <f t="shared" si="4"/>
        <v/>
      </c>
      <c r="U18" s="197" t="str">
        <f t="shared" si="5"/>
        <v/>
      </c>
      <c r="V18" s="198" t="str">
        <f t="shared" si="2"/>
        <v/>
      </c>
      <c r="W18" s="339" t="str">
        <f t="shared" si="6"/>
        <v/>
      </c>
      <c r="X18" s="341" t="str">
        <f t="shared" si="7"/>
        <v/>
      </c>
      <c r="Y18" s="277"/>
      <c r="Z18" s="766"/>
      <c r="AA18" s="763"/>
      <c r="AB18" s="727"/>
      <c r="AC18" s="727"/>
      <c r="AD18" s="727"/>
      <c r="AE18" s="727"/>
      <c r="AF18" s="727"/>
      <c r="AG18" s="764"/>
      <c r="AR18">
        <f t="shared" si="9"/>
        <v>15</v>
      </c>
      <c r="AS18" t="str">
        <f t="shared" si="10"/>
        <v/>
      </c>
    </row>
    <row r="19" spans="1:45">
      <c r="A19" s="294">
        <v>106223033</v>
      </c>
      <c r="B19" s="295">
        <v>43901</v>
      </c>
      <c r="C19" s="296">
        <v>28</v>
      </c>
      <c r="D19" s="296">
        <v>1</v>
      </c>
      <c r="E19" s="296">
        <v>7</v>
      </c>
      <c r="F19" s="296">
        <v>1</v>
      </c>
      <c r="G19" s="297" t="s">
        <v>7</v>
      </c>
      <c r="H19" s="299" t="s">
        <v>1226</v>
      </c>
      <c r="I19" s="298" t="s">
        <v>1246</v>
      </c>
      <c r="J19" s="298" t="s">
        <v>774</v>
      </c>
      <c r="K19" s="299" t="s">
        <v>723</v>
      </c>
      <c r="L19" s="289"/>
      <c r="M19" s="300"/>
      <c r="N19" s="301"/>
      <c r="P19" s="193">
        <f>IF(R19 = "", "", COUNT(R$4:$R19))</f>
        <v>16</v>
      </c>
      <c r="Q19" s="193">
        <f t="shared" si="0"/>
        <v>2020</v>
      </c>
      <c r="R19" s="194">
        <f t="shared" si="1"/>
        <v>1</v>
      </c>
      <c r="S19" s="195" t="str">
        <f t="shared" si="3"/>
        <v/>
      </c>
      <c r="T19" s="196" t="str">
        <f t="shared" si="4"/>
        <v/>
      </c>
      <c r="U19" s="197" t="str">
        <f t="shared" si="5"/>
        <v/>
      </c>
      <c r="V19" s="198" t="str">
        <f t="shared" si="2"/>
        <v/>
      </c>
      <c r="W19" s="339" t="str">
        <f t="shared" si="6"/>
        <v/>
      </c>
      <c r="X19" s="341" t="str">
        <f t="shared" si="7"/>
        <v/>
      </c>
      <c r="Y19" s="277"/>
      <c r="Z19" s="766"/>
      <c r="AA19" s="302" t="s">
        <v>45</v>
      </c>
      <c r="AB19" s="727" t="s">
        <v>704</v>
      </c>
      <c r="AC19" s="727"/>
      <c r="AD19" s="727"/>
      <c r="AE19" s="727"/>
      <c r="AF19" s="727"/>
      <c r="AG19" s="764"/>
      <c r="AR19">
        <f t="shared" si="9"/>
        <v>16</v>
      </c>
      <c r="AS19" t="str">
        <f t="shared" si="10"/>
        <v/>
      </c>
    </row>
    <row r="20" spans="1:45" ht="15" customHeight="1">
      <c r="A20" s="294">
        <v>106350413</v>
      </c>
      <c r="B20" s="295">
        <v>44069</v>
      </c>
      <c r="C20" s="296">
        <v>21</v>
      </c>
      <c r="D20" s="296">
        <v>1</v>
      </c>
      <c r="E20" s="296"/>
      <c r="F20" s="296">
        <v>1</v>
      </c>
      <c r="G20" s="297" t="s">
        <v>7</v>
      </c>
      <c r="H20" s="299" t="s">
        <v>1219</v>
      </c>
      <c r="I20" s="298" t="s">
        <v>1247</v>
      </c>
      <c r="J20" s="298" t="s">
        <v>1247</v>
      </c>
      <c r="K20" s="299" t="s">
        <v>724</v>
      </c>
      <c r="L20" s="289"/>
      <c r="M20" s="300"/>
      <c r="N20" s="301"/>
      <c r="P20" s="193">
        <f>IF(R20 = "", "", COUNT(R$4:$R20))</f>
        <v>17</v>
      </c>
      <c r="Q20" s="193">
        <f t="shared" si="0"/>
        <v>2020</v>
      </c>
      <c r="R20" s="194">
        <f t="shared" si="1"/>
        <v>1</v>
      </c>
      <c r="S20" s="195" t="str">
        <f t="shared" si="3"/>
        <v/>
      </c>
      <c r="T20" s="196" t="str">
        <f t="shared" si="4"/>
        <v/>
      </c>
      <c r="U20" s="197" t="str">
        <f t="shared" si="5"/>
        <v/>
      </c>
      <c r="V20" s="198" t="str">
        <f t="shared" si="2"/>
        <v/>
      </c>
      <c r="W20" s="339" t="str">
        <f t="shared" si="6"/>
        <v/>
      </c>
      <c r="X20" s="341" t="str">
        <f t="shared" si="7"/>
        <v/>
      </c>
      <c r="Y20" s="277"/>
      <c r="Z20" s="766"/>
      <c r="AA20" s="302"/>
      <c r="AB20" s="727"/>
      <c r="AC20" s="727"/>
      <c r="AD20" s="727"/>
      <c r="AE20" s="727"/>
      <c r="AF20" s="727"/>
      <c r="AG20" s="764"/>
      <c r="AR20">
        <f t="shared" si="9"/>
        <v>17</v>
      </c>
      <c r="AS20" t="str">
        <f t="shared" si="10"/>
        <v/>
      </c>
    </row>
    <row r="21" spans="1:45" ht="15" customHeight="1">
      <c r="A21" s="294">
        <v>106372334</v>
      </c>
      <c r="B21" s="295">
        <v>44095</v>
      </c>
      <c r="C21" s="296">
        <v>30</v>
      </c>
      <c r="D21" s="296">
        <v>1</v>
      </c>
      <c r="E21" s="296"/>
      <c r="F21" s="296">
        <v>1</v>
      </c>
      <c r="G21" s="297" t="s">
        <v>3</v>
      </c>
      <c r="H21" s="299" t="s">
        <v>1261</v>
      </c>
      <c r="I21" s="298" t="s">
        <v>774</v>
      </c>
      <c r="J21" s="298" t="s">
        <v>1238</v>
      </c>
      <c r="K21" s="299" t="s">
        <v>723</v>
      </c>
      <c r="L21" s="304"/>
      <c r="M21" s="300"/>
      <c r="N21" s="301"/>
      <c r="P21" s="193">
        <f>IF(R21 = "", "", COUNT(R$4:$R21))</f>
        <v>18</v>
      </c>
      <c r="Q21" s="193">
        <f t="shared" si="0"/>
        <v>2020</v>
      </c>
      <c r="R21" s="194">
        <f t="shared" si="1"/>
        <v>8.4</v>
      </c>
      <c r="S21" s="195" t="str">
        <f t="shared" si="3"/>
        <v/>
      </c>
      <c r="T21" s="196" t="str">
        <f t="shared" si="4"/>
        <v/>
      </c>
      <c r="U21" s="197" t="str">
        <f t="shared" si="5"/>
        <v/>
      </c>
      <c r="V21" s="198" t="str">
        <f t="shared" si="2"/>
        <v/>
      </c>
      <c r="W21" s="339" t="str">
        <f t="shared" si="6"/>
        <v/>
      </c>
      <c r="X21" s="341" t="str">
        <f t="shared" si="7"/>
        <v/>
      </c>
      <c r="Y21" s="277"/>
      <c r="Z21" s="766"/>
      <c r="AA21" s="305"/>
      <c r="AB21" s="727"/>
      <c r="AC21" s="727"/>
      <c r="AD21" s="727"/>
      <c r="AE21" s="727"/>
      <c r="AF21" s="727"/>
      <c r="AG21" s="764"/>
      <c r="AR21">
        <f t="shared" si="9"/>
        <v>18</v>
      </c>
      <c r="AS21" t="str">
        <f t="shared" si="10"/>
        <v/>
      </c>
    </row>
    <row r="22" spans="1:45" ht="15" customHeight="1">
      <c r="A22" s="294">
        <v>106802009</v>
      </c>
      <c r="B22" s="295">
        <v>44334</v>
      </c>
      <c r="C22" s="296">
        <v>23</v>
      </c>
      <c r="D22" s="296">
        <v>1</v>
      </c>
      <c r="E22" s="296">
        <v>7</v>
      </c>
      <c r="F22" s="296">
        <v>1</v>
      </c>
      <c r="G22" s="297" t="s">
        <v>7</v>
      </c>
      <c r="H22" s="299" t="s">
        <v>1256</v>
      </c>
      <c r="I22" s="298" t="s">
        <v>1257</v>
      </c>
      <c r="J22" s="298" t="s">
        <v>1238</v>
      </c>
      <c r="K22" s="299" t="s">
        <v>721</v>
      </c>
      <c r="L22" s="304" t="s">
        <v>61</v>
      </c>
      <c r="M22" s="300"/>
      <c r="N22" s="301"/>
      <c r="P22" s="193">
        <f>IF(R22 = "", "", COUNT(R$4:$R22))</f>
        <v>19</v>
      </c>
      <c r="Q22" s="193">
        <f t="shared" si="0"/>
        <v>2021</v>
      </c>
      <c r="R22" s="194">
        <f t="shared" si="1"/>
        <v>1</v>
      </c>
      <c r="S22" s="195">
        <f t="shared" si="3"/>
        <v>1</v>
      </c>
      <c r="T22" s="196" t="str">
        <f t="shared" si="4"/>
        <v>O</v>
      </c>
      <c r="U22" s="197" t="str">
        <f t="shared" si="5"/>
        <v/>
      </c>
      <c r="V22" s="198" t="str">
        <f t="shared" si="2"/>
        <v/>
      </c>
      <c r="W22" s="339" t="str">
        <f t="shared" si="6"/>
        <v/>
      </c>
      <c r="X22" s="341" t="str">
        <f t="shared" si="7"/>
        <v/>
      </c>
      <c r="Y22" s="277"/>
      <c r="Z22" s="766"/>
      <c r="AA22" s="306"/>
      <c r="AB22" s="727"/>
      <c r="AC22" s="727"/>
      <c r="AD22" s="727"/>
      <c r="AE22" s="727"/>
      <c r="AF22" s="727"/>
      <c r="AG22" s="764"/>
      <c r="AR22">
        <f t="shared" si="9"/>
        <v>19</v>
      </c>
      <c r="AS22" t="str">
        <f t="shared" si="10"/>
        <v>Y</v>
      </c>
    </row>
    <row r="23" spans="1:45" ht="15" customHeight="1">
      <c r="A23" s="294">
        <v>106802024</v>
      </c>
      <c r="B23" s="295">
        <v>44342</v>
      </c>
      <c r="C23" s="296">
        <v>21</v>
      </c>
      <c r="D23" s="296">
        <v>1</v>
      </c>
      <c r="E23" s="296">
        <v>0</v>
      </c>
      <c r="F23" s="296">
        <v>1</v>
      </c>
      <c r="G23" s="297" t="s">
        <v>7</v>
      </c>
      <c r="H23" s="299" t="s">
        <v>1219</v>
      </c>
      <c r="I23" s="298" t="s">
        <v>1238</v>
      </c>
      <c r="J23" s="298" t="s">
        <v>1241</v>
      </c>
      <c r="K23" s="299" t="s">
        <v>724</v>
      </c>
      <c r="L23" s="304"/>
      <c r="M23" s="300"/>
      <c r="N23" s="301"/>
      <c r="P23" s="193">
        <f>IF(R23 = "", "", COUNT(R$4:$R23))</f>
        <v>20</v>
      </c>
      <c r="Q23" s="193">
        <f t="shared" si="0"/>
        <v>2021</v>
      </c>
      <c r="R23" s="194">
        <f t="shared" si="1"/>
        <v>1</v>
      </c>
      <c r="S23" s="195" t="str">
        <f t="shared" si="3"/>
        <v/>
      </c>
      <c r="T23" s="196" t="str">
        <f t="shared" si="4"/>
        <v/>
      </c>
      <c r="U23" s="197" t="str">
        <f t="shared" si="5"/>
        <v/>
      </c>
      <c r="V23" s="198" t="str">
        <f t="shared" si="2"/>
        <v/>
      </c>
      <c r="W23" s="339" t="str">
        <f t="shared" si="6"/>
        <v/>
      </c>
      <c r="X23" s="341" t="str">
        <f t="shared" si="7"/>
        <v/>
      </c>
      <c r="Y23" s="277"/>
      <c r="Z23" s="766"/>
      <c r="AA23" s="306"/>
      <c r="AB23" s="727"/>
      <c r="AC23" s="727"/>
      <c r="AD23" s="727"/>
      <c r="AE23" s="727"/>
      <c r="AF23" s="727"/>
      <c r="AG23" s="764"/>
      <c r="AR23">
        <f t="shared" si="9"/>
        <v>20</v>
      </c>
      <c r="AS23" t="str">
        <f t="shared" si="10"/>
        <v/>
      </c>
    </row>
    <row r="24" spans="1:45" ht="15" customHeight="1">
      <c r="A24" s="294"/>
      <c r="B24" s="295"/>
      <c r="C24" s="296"/>
      <c r="D24" s="296"/>
      <c r="E24" s="296"/>
      <c r="F24" s="296"/>
      <c r="G24" s="297"/>
      <c r="H24" s="299"/>
      <c r="I24" s="298"/>
      <c r="J24" s="298"/>
      <c r="K24" s="299"/>
      <c r="L24" s="304"/>
      <c r="M24" s="300"/>
      <c r="N24" s="301"/>
      <c r="P24" s="193" t="str">
        <f>IF(R24 = "", "", COUNT(R$4:$R24))</f>
        <v/>
      </c>
      <c r="Q24" s="193" t="str">
        <f t="shared" si="0"/>
        <v/>
      </c>
      <c r="R24" s="194" t="str">
        <f t="shared" si="1"/>
        <v/>
      </c>
      <c r="S24" s="195" t="str">
        <f t="shared" si="3"/>
        <v/>
      </c>
      <c r="T24" s="196" t="str">
        <f t="shared" si="4"/>
        <v/>
      </c>
      <c r="U24" s="197" t="str">
        <f t="shared" si="5"/>
        <v/>
      </c>
      <c r="V24" s="198" t="str">
        <f t="shared" si="2"/>
        <v/>
      </c>
      <c r="W24" s="339" t="str">
        <f t="shared" si="6"/>
        <v/>
      </c>
      <c r="X24" s="341" t="str">
        <f t="shared" si="7"/>
        <v/>
      </c>
      <c r="Y24" s="277"/>
      <c r="Z24" s="766"/>
      <c r="AA24" s="302" t="s">
        <v>45</v>
      </c>
      <c r="AB24" s="727" t="s">
        <v>702</v>
      </c>
      <c r="AC24" s="727"/>
      <c r="AD24" s="727"/>
      <c r="AE24" s="727"/>
      <c r="AF24" s="727"/>
      <c r="AG24" s="764"/>
      <c r="AR24" t="str">
        <f t="shared" si="9"/>
        <v/>
      </c>
      <c r="AS24" t="str">
        <f t="shared" si="10"/>
        <v/>
      </c>
    </row>
    <row r="25" spans="1:45" ht="15" customHeight="1">
      <c r="A25" s="294"/>
      <c r="B25" s="295"/>
      <c r="C25" s="296"/>
      <c r="D25" s="296"/>
      <c r="E25" s="296"/>
      <c r="F25" s="296"/>
      <c r="G25" s="297"/>
      <c r="H25" s="299"/>
      <c r="I25" s="298"/>
      <c r="J25" s="298"/>
      <c r="K25" s="299"/>
      <c r="L25" s="304"/>
      <c r="M25" s="300"/>
      <c r="N25" s="301"/>
      <c r="P25" s="193" t="str">
        <f>IF(R25 = "", "", COUNT(R$4:$R25))</f>
        <v/>
      </c>
      <c r="Q25" s="193" t="str">
        <f t="shared" si="0"/>
        <v/>
      </c>
      <c r="R25" s="194" t="str">
        <f t="shared" si="1"/>
        <v/>
      </c>
      <c r="S25" s="195" t="str">
        <f t="shared" si="3"/>
        <v/>
      </c>
      <c r="T25" s="196" t="str">
        <f t="shared" si="4"/>
        <v/>
      </c>
      <c r="U25" s="197" t="str">
        <f t="shared" si="5"/>
        <v/>
      </c>
      <c r="V25" s="198" t="str">
        <f t="shared" si="2"/>
        <v/>
      </c>
      <c r="W25" s="339" t="str">
        <f t="shared" si="6"/>
        <v/>
      </c>
      <c r="X25" s="341" t="str">
        <f t="shared" si="7"/>
        <v/>
      </c>
      <c r="Y25" s="277"/>
      <c r="Z25" s="766"/>
      <c r="AA25" s="302"/>
      <c r="AB25" s="727"/>
      <c r="AC25" s="727"/>
      <c r="AD25" s="727"/>
      <c r="AE25" s="727"/>
      <c r="AF25" s="727"/>
      <c r="AG25" s="764"/>
      <c r="AR25" t="str">
        <f t="shared" si="9"/>
        <v/>
      </c>
      <c r="AS25" t="str">
        <f t="shared" si="10"/>
        <v/>
      </c>
    </row>
    <row r="26" spans="1:45">
      <c r="A26" s="294"/>
      <c r="B26" s="295"/>
      <c r="C26" s="296"/>
      <c r="D26" s="296"/>
      <c r="E26" s="296"/>
      <c r="F26" s="296"/>
      <c r="G26" s="297"/>
      <c r="H26" s="299"/>
      <c r="I26" s="298"/>
      <c r="J26" s="298"/>
      <c r="K26" s="299"/>
      <c r="L26" s="304"/>
      <c r="M26" s="300"/>
      <c r="N26" s="301"/>
      <c r="P26" s="193" t="str">
        <f>IF(R26 = "", "", COUNT(R$4:$R26))</f>
        <v/>
      </c>
      <c r="Q26" s="193" t="str">
        <f t="shared" si="0"/>
        <v/>
      </c>
      <c r="R26" s="194" t="str">
        <f t="shared" si="1"/>
        <v/>
      </c>
      <c r="S26" s="195" t="str">
        <f t="shared" si="3"/>
        <v/>
      </c>
      <c r="T26" s="196" t="str">
        <f t="shared" si="4"/>
        <v/>
      </c>
      <c r="U26" s="197" t="str">
        <f t="shared" si="5"/>
        <v/>
      </c>
      <c r="V26" s="198" t="str">
        <f t="shared" si="2"/>
        <v/>
      </c>
      <c r="W26" s="339" t="str">
        <f t="shared" si="6"/>
        <v/>
      </c>
      <c r="X26" s="341" t="str">
        <f t="shared" si="7"/>
        <v/>
      </c>
      <c r="Y26" s="277"/>
      <c r="Z26" s="766"/>
      <c r="AA26" s="306"/>
      <c r="AB26" s="727"/>
      <c r="AC26" s="727"/>
      <c r="AD26" s="727"/>
      <c r="AE26" s="727"/>
      <c r="AF26" s="727"/>
      <c r="AG26" s="764"/>
      <c r="AR26" t="str">
        <f t="shared" si="9"/>
        <v/>
      </c>
      <c r="AS26" t="str">
        <f t="shared" si="10"/>
        <v/>
      </c>
    </row>
    <row r="27" spans="1:45" ht="15" customHeight="1">
      <c r="A27" s="294"/>
      <c r="B27" s="295"/>
      <c r="C27" s="296"/>
      <c r="D27" s="296"/>
      <c r="E27" s="296"/>
      <c r="F27" s="296"/>
      <c r="G27" s="297"/>
      <c r="H27" s="299"/>
      <c r="I27" s="298"/>
      <c r="J27" s="298"/>
      <c r="K27" s="299"/>
      <c r="L27" s="304"/>
      <c r="M27" s="300"/>
      <c r="N27" s="301"/>
      <c r="P27" s="193" t="str">
        <f>IF(R27 = "", "", COUNT(R$4:$R27))</f>
        <v/>
      </c>
      <c r="Q27" s="193" t="str">
        <f t="shared" si="0"/>
        <v/>
      </c>
      <c r="R27" s="194" t="str">
        <f t="shared" si="1"/>
        <v/>
      </c>
      <c r="S27" s="195" t="str">
        <f t="shared" si="3"/>
        <v/>
      </c>
      <c r="T27" s="196" t="str">
        <f t="shared" si="4"/>
        <v/>
      </c>
      <c r="U27" s="197" t="str">
        <f t="shared" si="5"/>
        <v/>
      </c>
      <c r="V27" s="198" t="str">
        <f t="shared" si="2"/>
        <v/>
      </c>
      <c r="W27" s="339" t="str">
        <f t="shared" si="6"/>
        <v/>
      </c>
      <c r="X27" s="341" t="str">
        <f t="shared" si="7"/>
        <v/>
      </c>
      <c r="Y27" s="277"/>
      <c r="Z27" s="766"/>
      <c r="AA27" s="307"/>
      <c r="AB27" s="727"/>
      <c r="AC27" s="727"/>
      <c r="AD27" s="727"/>
      <c r="AE27" s="727"/>
      <c r="AF27" s="727"/>
      <c r="AG27" s="764"/>
      <c r="AR27" t="str">
        <f t="shared" si="9"/>
        <v/>
      </c>
      <c r="AS27" t="str">
        <f t="shared" si="10"/>
        <v/>
      </c>
    </row>
    <row r="28" spans="1:45" ht="15" customHeight="1">
      <c r="A28" s="294"/>
      <c r="B28" s="295"/>
      <c r="C28" s="296"/>
      <c r="D28" s="296"/>
      <c r="E28" s="296"/>
      <c r="F28" s="296"/>
      <c r="G28" s="297"/>
      <c r="H28" s="299"/>
      <c r="I28" s="298"/>
      <c r="J28" s="298"/>
      <c r="K28" s="299"/>
      <c r="L28" s="304"/>
      <c r="M28" s="300"/>
      <c r="N28" s="301"/>
      <c r="P28" s="193" t="str">
        <f>IF(R28 = "", "", COUNT(R$4:$R28))</f>
        <v/>
      </c>
      <c r="Q28" s="193" t="str">
        <f t="shared" si="0"/>
        <v/>
      </c>
      <c r="R28" s="194" t="str">
        <f t="shared" si="1"/>
        <v/>
      </c>
      <c r="S28" s="195" t="str">
        <f t="shared" si="3"/>
        <v/>
      </c>
      <c r="T28" s="196" t="str">
        <f t="shared" si="4"/>
        <v/>
      </c>
      <c r="U28" s="197" t="str">
        <f t="shared" si="5"/>
        <v/>
      </c>
      <c r="V28" s="198" t="str">
        <f t="shared" si="2"/>
        <v/>
      </c>
      <c r="W28" s="339" t="str">
        <f t="shared" si="6"/>
        <v/>
      </c>
      <c r="X28" s="341" t="str">
        <f t="shared" si="7"/>
        <v/>
      </c>
      <c r="Y28" s="277"/>
      <c r="Z28" s="781">
        <v>2</v>
      </c>
      <c r="AA28" s="787" t="s">
        <v>131</v>
      </c>
      <c r="AB28" s="787"/>
      <c r="AC28" s="787"/>
      <c r="AD28" s="787"/>
      <c r="AE28" s="787"/>
      <c r="AF28" s="787"/>
      <c r="AG28" s="788"/>
      <c r="AR28" t="str">
        <f t="shared" si="9"/>
        <v/>
      </c>
      <c r="AS28" t="str">
        <f t="shared" si="10"/>
        <v/>
      </c>
    </row>
    <row r="29" spans="1:45">
      <c r="A29" s="294"/>
      <c r="B29" s="295"/>
      <c r="C29" s="296"/>
      <c r="D29" s="296"/>
      <c r="E29" s="296"/>
      <c r="F29" s="296"/>
      <c r="G29" s="297"/>
      <c r="H29" s="299"/>
      <c r="I29" s="298"/>
      <c r="J29" s="298"/>
      <c r="K29" s="299"/>
      <c r="L29" s="304"/>
      <c r="M29" s="300"/>
      <c r="N29" s="301"/>
      <c r="P29" s="193" t="str">
        <f>IF(R29 = "", "", COUNT(R$4:$R29))</f>
        <v/>
      </c>
      <c r="Q29" s="193" t="str">
        <f t="shared" si="0"/>
        <v/>
      </c>
      <c r="R29" s="194" t="str">
        <f t="shared" si="1"/>
        <v/>
      </c>
      <c r="S29" s="195" t="str">
        <f t="shared" si="3"/>
        <v/>
      </c>
      <c r="T29" s="196" t="str">
        <f t="shared" si="4"/>
        <v/>
      </c>
      <c r="U29" s="197" t="str">
        <f t="shared" si="5"/>
        <v/>
      </c>
      <c r="V29" s="198" t="str">
        <f t="shared" si="2"/>
        <v/>
      </c>
      <c r="W29" s="339" t="str">
        <f t="shared" si="6"/>
        <v/>
      </c>
      <c r="X29" s="341" t="str">
        <f t="shared" si="7"/>
        <v/>
      </c>
      <c r="Y29" s="277"/>
      <c r="Z29" s="794"/>
      <c r="AA29" s="218" t="s">
        <v>45</v>
      </c>
      <c r="AB29" s="114" t="s">
        <v>132</v>
      </c>
      <c r="AC29" s="114"/>
      <c r="AD29" s="114"/>
      <c r="AE29" s="114"/>
      <c r="AF29" s="114"/>
      <c r="AG29" s="115"/>
      <c r="AR29" t="str">
        <f t="shared" si="9"/>
        <v/>
      </c>
      <c r="AS29" t="str">
        <f t="shared" si="10"/>
        <v/>
      </c>
    </row>
    <row r="30" spans="1:45" ht="15" customHeight="1">
      <c r="A30" s="294"/>
      <c r="B30" s="295"/>
      <c r="C30" s="296"/>
      <c r="D30" s="296"/>
      <c r="E30" s="296"/>
      <c r="F30" s="296"/>
      <c r="G30" s="297"/>
      <c r="H30" s="299"/>
      <c r="I30" s="298"/>
      <c r="J30" s="298"/>
      <c r="K30" s="299"/>
      <c r="L30" s="304"/>
      <c r="M30" s="300"/>
      <c r="N30" s="301"/>
      <c r="P30" s="193" t="str">
        <f>IF(R30 = "", "", COUNT(R$4:$R30))</f>
        <v/>
      </c>
      <c r="Q30" s="193" t="str">
        <f t="shared" si="0"/>
        <v/>
      </c>
      <c r="R30" s="194" t="str">
        <f t="shared" si="1"/>
        <v/>
      </c>
      <c r="S30" s="195" t="str">
        <f t="shared" si="3"/>
        <v/>
      </c>
      <c r="T30" s="196" t="str">
        <f t="shared" si="4"/>
        <v/>
      </c>
      <c r="U30" s="197" t="str">
        <f t="shared" si="5"/>
        <v/>
      </c>
      <c r="V30" s="198" t="str">
        <f t="shared" si="2"/>
        <v/>
      </c>
      <c r="W30" s="339" t="str">
        <f t="shared" si="6"/>
        <v/>
      </c>
      <c r="X30" s="341" t="str">
        <f t="shared" si="7"/>
        <v/>
      </c>
      <c r="Y30" s="277"/>
      <c r="Z30" s="794"/>
      <c r="AA30" s="218" t="s">
        <v>45</v>
      </c>
      <c r="AB30" s="114" t="s">
        <v>133</v>
      </c>
      <c r="AC30" s="114"/>
      <c r="AD30" s="114"/>
      <c r="AE30" s="114"/>
      <c r="AF30" s="114"/>
      <c r="AG30" s="115"/>
      <c r="AR30" t="str">
        <f t="shared" si="9"/>
        <v/>
      </c>
      <c r="AS30" t="str">
        <f t="shared" si="10"/>
        <v/>
      </c>
    </row>
    <row r="31" spans="1:45">
      <c r="A31" s="294"/>
      <c r="B31" s="295"/>
      <c r="C31" s="296"/>
      <c r="D31" s="296"/>
      <c r="E31" s="296"/>
      <c r="F31" s="296"/>
      <c r="G31" s="297"/>
      <c r="H31" s="299"/>
      <c r="I31" s="298"/>
      <c r="J31" s="298"/>
      <c r="K31" s="299"/>
      <c r="L31" s="304"/>
      <c r="M31" s="300"/>
      <c r="N31" s="301"/>
      <c r="P31" s="193" t="str">
        <f>IF(R31 = "", "", COUNT(R$4:$R31))</f>
        <v/>
      </c>
      <c r="Q31" s="193" t="str">
        <f t="shared" si="0"/>
        <v/>
      </c>
      <c r="R31" s="194" t="str">
        <f t="shared" si="1"/>
        <v/>
      </c>
      <c r="S31" s="195" t="str">
        <f t="shared" si="3"/>
        <v/>
      </c>
      <c r="T31" s="196" t="str">
        <f t="shared" si="4"/>
        <v/>
      </c>
      <c r="U31" s="197" t="str">
        <f t="shared" si="5"/>
        <v/>
      </c>
      <c r="V31" s="198" t="str">
        <f t="shared" si="2"/>
        <v/>
      </c>
      <c r="W31" s="339" t="str">
        <f t="shared" si="6"/>
        <v/>
      </c>
      <c r="X31" s="341" t="str">
        <f t="shared" si="7"/>
        <v/>
      </c>
      <c r="Y31" s="277"/>
      <c r="Z31" s="794"/>
      <c r="AA31" s="218" t="s">
        <v>45</v>
      </c>
      <c r="AB31" s="114" t="s">
        <v>59</v>
      </c>
      <c r="AC31" s="114"/>
      <c r="AD31" s="114"/>
      <c r="AE31" s="114"/>
      <c r="AF31" s="114"/>
      <c r="AG31" s="115"/>
      <c r="AR31" t="str">
        <f t="shared" si="9"/>
        <v/>
      </c>
      <c r="AS31" t="str">
        <f t="shared" si="10"/>
        <v/>
      </c>
    </row>
    <row r="32" spans="1:45">
      <c r="A32" s="294"/>
      <c r="B32" s="295"/>
      <c r="C32" s="296"/>
      <c r="D32" s="296"/>
      <c r="E32" s="296"/>
      <c r="F32" s="296"/>
      <c r="G32" s="297"/>
      <c r="H32" s="299"/>
      <c r="I32" s="298"/>
      <c r="J32" s="298"/>
      <c r="K32" s="299"/>
      <c r="L32" s="304"/>
      <c r="M32" s="300"/>
      <c r="N32" s="301"/>
      <c r="P32" s="193" t="str">
        <f>IF(R32 = "", "", COUNT(R$4:$R32))</f>
        <v/>
      </c>
      <c r="Q32" s="193" t="str">
        <f t="shared" si="0"/>
        <v/>
      </c>
      <c r="R32" s="194" t="str">
        <f t="shared" si="1"/>
        <v/>
      </c>
      <c r="S32" s="195" t="str">
        <f t="shared" si="3"/>
        <v/>
      </c>
      <c r="T32" s="196" t="str">
        <f t="shared" si="4"/>
        <v/>
      </c>
      <c r="U32" s="197" t="str">
        <f t="shared" si="5"/>
        <v/>
      </c>
      <c r="V32" s="198" t="str">
        <f t="shared" si="2"/>
        <v/>
      </c>
      <c r="W32" s="339" t="str">
        <f t="shared" si="6"/>
        <v/>
      </c>
      <c r="X32" s="341" t="str">
        <f t="shared" si="7"/>
        <v/>
      </c>
      <c r="Y32" s="277"/>
      <c r="Z32" s="794"/>
      <c r="AA32" s="218" t="s">
        <v>45</v>
      </c>
      <c r="AB32" s="789" t="s">
        <v>181</v>
      </c>
      <c r="AC32" s="789"/>
      <c r="AD32" s="789"/>
      <c r="AE32" s="789"/>
      <c r="AF32" s="789"/>
      <c r="AG32" s="790"/>
      <c r="AR32" t="str">
        <f t="shared" si="9"/>
        <v/>
      </c>
      <c r="AS32" t="str">
        <f t="shared" si="10"/>
        <v/>
      </c>
    </row>
    <row r="33" spans="1:45">
      <c r="A33" s="294"/>
      <c r="B33" s="295"/>
      <c r="C33" s="296"/>
      <c r="D33" s="296"/>
      <c r="E33" s="296"/>
      <c r="F33" s="296"/>
      <c r="G33" s="297"/>
      <c r="H33" s="299"/>
      <c r="I33" s="298"/>
      <c r="J33" s="298"/>
      <c r="K33" s="299"/>
      <c r="L33" s="304"/>
      <c r="M33" s="300"/>
      <c r="N33" s="301"/>
      <c r="P33" s="193" t="str">
        <f>IF(R33 = "", "", COUNT(R$4:$R33))</f>
        <v/>
      </c>
      <c r="Q33" s="193" t="str">
        <f t="shared" si="0"/>
        <v/>
      </c>
      <c r="R33" s="194" t="str">
        <f t="shared" si="1"/>
        <v/>
      </c>
      <c r="S33" s="195" t="str">
        <f t="shared" si="3"/>
        <v/>
      </c>
      <c r="T33" s="196" t="str">
        <f t="shared" si="4"/>
        <v/>
      </c>
      <c r="U33" s="197" t="str">
        <f t="shared" si="5"/>
        <v/>
      </c>
      <c r="V33" s="198" t="str">
        <f t="shared" si="2"/>
        <v/>
      </c>
      <c r="W33" s="339" t="str">
        <f t="shared" si="6"/>
        <v/>
      </c>
      <c r="X33" s="341" t="str">
        <f t="shared" si="7"/>
        <v/>
      </c>
      <c r="Y33" s="277"/>
      <c r="Z33" s="794"/>
      <c r="AA33" s="114"/>
      <c r="AB33" s="789"/>
      <c r="AC33" s="789"/>
      <c r="AD33" s="789"/>
      <c r="AE33" s="789"/>
      <c r="AF33" s="789"/>
      <c r="AG33" s="790"/>
      <c r="AR33" t="str">
        <f t="shared" si="9"/>
        <v/>
      </c>
      <c r="AS33" t="str">
        <f t="shared" si="10"/>
        <v/>
      </c>
    </row>
    <row r="34" spans="1:45">
      <c r="A34" s="294"/>
      <c r="B34" s="295"/>
      <c r="C34" s="296"/>
      <c r="D34" s="296"/>
      <c r="E34" s="296"/>
      <c r="F34" s="296"/>
      <c r="G34" s="297"/>
      <c r="H34" s="299"/>
      <c r="I34" s="298"/>
      <c r="J34" s="298"/>
      <c r="K34" s="299"/>
      <c r="L34" s="304"/>
      <c r="M34" s="300"/>
      <c r="N34" s="301"/>
      <c r="P34" s="193" t="str">
        <f>IF(R34 = "", "", COUNT(R$4:$R34))</f>
        <v/>
      </c>
      <c r="Q34" s="193" t="str">
        <f t="shared" si="0"/>
        <v/>
      </c>
      <c r="R34" s="194" t="str">
        <f t="shared" si="1"/>
        <v/>
      </c>
      <c r="S34" s="195" t="str">
        <f t="shared" si="3"/>
        <v/>
      </c>
      <c r="T34" s="196" t="str">
        <f t="shared" si="4"/>
        <v/>
      </c>
      <c r="U34" s="197" t="str">
        <f t="shared" si="5"/>
        <v/>
      </c>
      <c r="V34" s="198" t="str">
        <f t="shared" si="2"/>
        <v/>
      </c>
      <c r="W34" s="339" t="str">
        <f t="shared" si="6"/>
        <v/>
      </c>
      <c r="X34" s="341" t="str">
        <f t="shared" si="7"/>
        <v/>
      </c>
      <c r="Y34" s="277"/>
      <c r="Z34" s="794"/>
      <c r="AA34" s="114"/>
      <c r="AB34" s="789"/>
      <c r="AC34" s="789"/>
      <c r="AD34" s="789"/>
      <c r="AE34" s="789"/>
      <c r="AF34" s="789"/>
      <c r="AG34" s="790"/>
      <c r="AR34" t="str">
        <f t="shared" si="9"/>
        <v/>
      </c>
      <c r="AS34" t="str">
        <f t="shared" si="10"/>
        <v/>
      </c>
    </row>
    <row r="35" spans="1:45">
      <c r="A35" s="294"/>
      <c r="B35" s="295"/>
      <c r="C35" s="296"/>
      <c r="D35" s="296"/>
      <c r="E35" s="296"/>
      <c r="F35" s="296"/>
      <c r="G35" s="297"/>
      <c r="H35" s="288"/>
      <c r="I35" s="298"/>
      <c r="J35" s="298"/>
      <c r="K35" s="299"/>
      <c r="L35" s="304"/>
      <c r="M35" s="300"/>
      <c r="N35" s="301"/>
      <c r="P35" s="193" t="str">
        <f>IF(R35 = "", "", COUNT(R$4:$R35))</f>
        <v/>
      </c>
      <c r="Q35" s="193" t="str">
        <f t="shared" si="0"/>
        <v/>
      </c>
      <c r="R35" s="194" t="str">
        <f t="shared" si="1"/>
        <v/>
      </c>
      <c r="S35" s="195" t="str">
        <f t="shared" si="3"/>
        <v/>
      </c>
      <c r="T35" s="196" t="str">
        <f t="shared" si="4"/>
        <v/>
      </c>
      <c r="U35" s="197" t="str">
        <f t="shared" si="5"/>
        <v/>
      </c>
      <c r="V35" s="198" t="str">
        <f t="shared" si="2"/>
        <v/>
      </c>
      <c r="W35" s="339" t="str">
        <f t="shared" si="6"/>
        <v/>
      </c>
      <c r="X35" s="341" t="str">
        <f t="shared" si="7"/>
        <v/>
      </c>
      <c r="Y35" s="277"/>
      <c r="Z35" s="794"/>
      <c r="AA35" s="114"/>
      <c r="AB35" s="789"/>
      <c r="AC35" s="789"/>
      <c r="AD35" s="789"/>
      <c r="AE35" s="789"/>
      <c r="AF35" s="789"/>
      <c r="AG35" s="790"/>
      <c r="AR35" t="str">
        <f t="shared" si="9"/>
        <v/>
      </c>
      <c r="AS35" t="str">
        <f t="shared" si="10"/>
        <v/>
      </c>
    </row>
    <row r="36" spans="1:45">
      <c r="A36" s="294"/>
      <c r="B36" s="295"/>
      <c r="C36" s="296"/>
      <c r="D36" s="296"/>
      <c r="E36" s="296"/>
      <c r="F36" s="296"/>
      <c r="G36" s="297"/>
      <c r="H36" s="299"/>
      <c r="I36" s="298"/>
      <c r="J36" s="298"/>
      <c r="K36" s="299"/>
      <c r="L36" s="304"/>
      <c r="M36" s="300"/>
      <c r="N36" s="301"/>
      <c r="P36" s="193" t="str">
        <f>IF(R36 = "", "", COUNT(R$4:$R36))</f>
        <v/>
      </c>
      <c r="Q36" s="193" t="str">
        <f t="shared" si="0"/>
        <v/>
      </c>
      <c r="R36" s="194" t="str">
        <f t="shared" si="1"/>
        <v/>
      </c>
      <c r="S36" s="195" t="str">
        <f t="shared" si="3"/>
        <v/>
      </c>
      <c r="T36" s="196" t="str">
        <f t="shared" si="4"/>
        <v/>
      </c>
      <c r="U36" s="197" t="str">
        <f t="shared" si="5"/>
        <v/>
      </c>
      <c r="V36" s="198" t="str">
        <f t="shared" si="2"/>
        <v/>
      </c>
      <c r="W36" s="339" t="str">
        <f t="shared" si="6"/>
        <v/>
      </c>
      <c r="X36" s="341" t="str">
        <f t="shared" si="7"/>
        <v/>
      </c>
      <c r="Y36" s="277"/>
      <c r="Z36" s="794"/>
      <c r="AA36" s="218" t="s">
        <v>45</v>
      </c>
      <c r="AB36" s="701" t="s">
        <v>703</v>
      </c>
      <c r="AC36" s="701"/>
      <c r="AD36" s="701"/>
      <c r="AE36" s="701"/>
      <c r="AF36" s="701"/>
      <c r="AG36" s="791"/>
      <c r="AR36" t="str">
        <f t="shared" si="9"/>
        <v/>
      </c>
      <c r="AS36" t="str">
        <f t="shared" si="10"/>
        <v/>
      </c>
    </row>
    <row r="37" spans="1:45" ht="14.5" customHeight="1">
      <c r="A37" s="294"/>
      <c r="B37" s="295"/>
      <c r="C37" s="296"/>
      <c r="D37" s="296"/>
      <c r="E37" s="296"/>
      <c r="F37" s="296"/>
      <c r="G37" s="297"/>
      <c r="H37" s="288"/>
      <c r="I37" s="298"/>
      <c r="J37" s="298"/>
      <c r="K37" s="299"/>
      <c r="L37" s="304"/>
      <c r="M37" s="300"/>
      <c r="N37" s="301"/>
      <c r="P37" s="193" t="str">
        <f>IF(R37 = "", "", COUNT(R$4:$R37))</f>
        <v/>
      </c>
      <c r="Q37" s="193" t="str">
        <f t="shared" si="0"/>
        <v/>
      </c>
      <c r="R37" s="194" t="str">
        <f t="shared" si="1"/>
        <v/>
      </c>
      <c r="S37" s="195" t="str">
        <f t="shared" si="3"/>
        <v/>
      </c>
      <c r="T37" s="196" t="str">
        <f t="shared" si="4"/>
        <v/>
      </c>
      <c r="U37" s="197" t="str">
        <f t="shared" si="5"/>
        <v/>
      </c>
      <c r="V37" s="198" t="str">
        <f t="shared" si="2"/>
        <v/>
      </c>
      <c r="W37" s="339" t="str">
        <f t="shared" si="6"/>
        <v/>
      </c>
      <c r="X37" s="341" t="str">
        <f t="shared" si="7"/>
        <v/>
      </c>
      <c r="Y37" s="277"/>
      <c r="Z37" s="794"/>
      <c r="AA37" s="114"/>
      <c r="AB37" s="701"/>
      <c r="AC37" s="701"/>
      <c r="AD37" s="701"/>
      <c r="AE37" s="701"/>
      <c r="AF37" s="701"/>
      <c r="AG37" s="791"/>
      <c r="AR37" t="str">
        <f t="shared" si="9"/>
        <v/>
      </c>
      <c r="AS37" t="str">
        <f t="shared" si="10"/>
        <v/>
      </c>
    </row>
    <row r="38" spans="1:45">
      <c r="A38" s="294"/>
      <c r="B38" s="295"/>
      <c r="C38" s="296"/>
      <c r="D38" s="296"/>
      <c r="E38" s="296"/>
      <c r="F38" s="296"/>
      <c r="G38" s="297"/>
      <c r="H38" s="299"/>
      <c r="I38" s="298"/>
      <c r="J38" s="298"/>
      <c r="K38" s="299"/>
      <c r="L38" s="304"/>
      <c r="M38" s="300"/>
      <c r="N38" s="301"/>
      <c r="P38" s="193" t="str">
        <f>IF(R38 = "", "", COUNT(R$4:$R38))</f>
        <v/>
      </c>
      <c r="Q38" s="193" t="str">
        <f t="shared" si="0"/>
        <v/>
      </c>
      <c r="R38" s="194" t="str">
        <f t="shared" si="1"/>
        <v/>
      </c>
      <c r="S38" s="195" t="str">
        <f t="shared" si="3"/>
        <v/>
      </c>
      <c r="T38" s="196" t="str">
        <f t="shared" si="4"/>
        <v/>
      </c>
      <c r="U38" s="197" t="str">
        <f t="shared" si="5"/>
        <v/>
      </c>
      <c r="V38" s="198" t="str">
        <f t="shared" si="2"/>
        <v/>
      </c>
      <c r="W38" s="339" t="str">
        <f t="shared" si="6"/>
        <v/>
      </c>
      <c r="X38" s="341" t="str">
        <f t="shared" si="7"/>
        <v/>
      </c>
      <c r="Y38" s="277"/>
      <c r="Z38" s="794"/>
      <c r="AA38" s="218" t="s">
        <v>45</v>
      </c>
      <c r="AB38" s="701" t="s">
        <v>705</v>
      </c>
      <c r="AC38" s="701"/>
      <c r="AD38" s="701"/>
      <c r="AE38" s="701"/>
      <c r="AF38" s="701"/>
      <c r="AG38" s="791"/>
      <c r="AR38" t="str">
        <f t="shared" si="9"/>
        <v/>
      </c>
      <c r="AS38" t="str">
        <f t="shared" si="10"/>
        <v/>
      </c>
    </row>
    <row r="39" spans="1:45">
      <c r="A39" s="294"/>
      <c r="B39" s="295"/>
      <c r="C39" s="296"/>
      <c r="D39" s="296"/>
      <c r="E39" s="296"/>
      <c r="F39" s="296"/>
      <c r="G39" s="297"/>
      <c r="H39" s="299"/>
      <c r="I39" s="298"/>
      <c r="J39" s="298"/>
      <c r="K39" s="299"/>
      <c r="L39" s="304"/>
      <c r="M39" s="300"/>
      <c r="N39" s="301"/>
      <c r="P39" s="193" t="str">
        <f>IF(R39 = "", "", COUNT(R$4:$R39))</f>
        <v/>
      </c>
      <c r="Q39" s="193" t="str">
        <f t="shared" si="0"/>
        <v/>
      </c>
      <c r="R39" s="194" t="str">
        <f t="shared" si="1"/>
        <v/>
      </c>
      <c r="S39" s="195" t="str">
        <f t="shared" si="3"/>
        <v/>
      </c>
      <c r="T39" s="196" t="str">
        <f t="shared" si="4"/>
        <v/>
      </c>
      <c r="U39" s="197" t="str">
        <f t="shared" si="5"/>
        <v/>
      </c>
      <c r="V39" s="198" t="str">
        <f t="shared" si="2"/>
        <v/>
      </c>
      <c r="W39" s="339" t="str">
        <f t="shared" si="6"/>
        <v/>
      </c>
      <c r="X39" s="341" t="str">
        <f t="shared" si="7"/>
        <v/>
      </c>
      <c r="Y39" s="277"/>
      <c r="Z39" s="795"/>
      <c r="AA39" s="308"/>
      <c r="AB39" s="792"/>
      <c r="AC39" s="792"/>
      <c r="AD39" s="792"/>
      <c r="AE39" s="792"/>
      <c r="AF39" s="792"/>
      <c r="AG39" s="793"/>
      <c r="AR39" t="str">
        <f t="shared" si="9"/>
        <v/>
      </c>
      <c r="AS39" t="str">
        <f t="shared" si="10"/>
        <v/>
      </c>
    </row>
    <row r="40" spans="1:45">
      <c r="A40" s="294"/>
      <c r="B40" s="295"/>
      <c r="C40" s="296"/>
      <c r="D40" s="296"/>
      <c r="E40" s="296"/>
      <c r="F40" s="296"/>
      <c r="G40" s="297"/>
      <c r="H40" s="288"/>
      <c r="I40" s="298"/>
      <c r="J40" s="298"/>
      <c r="K40" s="299"/>
      <c r="L40" s="304"/>
      <c r="M40" s="300"/>
      <c r="N40" s="301"/>
      <c r="P40" s="193" t="str">
        <f>IF(R40 = "", "", COUNT(R$4:$R40))</f>
        <v/>
      </c>
      <c r="Q40" s="193" t="str">
        <f t="shared" si="0"/>
        <v/>
      </c>
      <c r="R40" s="194" t="str">
        <f t="shared" si="1"/>
        <v/>
      </c>
      <c r="S40" s="195" t="str">
        <f t="shared" si="3"/>
        <v/>
      </c>
      <c r="T40" s="196" t="str">
        <f t="shared" si="4"/>
        <v/>
      </c>
      <c r="U40" s="197" t="str">
        <f t="shared" si="5"/>
        <v/>
      </c>
      <c r="V40" s="198" t="str">
        <f t="shared" si="2"/>
        <v/>
      </c>
      <c r="W40" s="339" t="str">
        <f t="shared" si="6"/>
        <v/>
      </c>
      <c r="X40" s="341" t="str">
        <f t="shared" si="7"/>
        <v/>
      </c>
      <c r="Y40" s="277"/>
      <c r="Z40" s="781">
        <v>4</v>
      </c>
      <c r="AA40" s="783" t="s">
        <v>706</v>
      </c>
      <c r="AB40" s="783"/>
      <c r="AC40" s="783"/>
      <c r="AD40" s="783"/>
      <c r="AE40" s="783"/>
      <c r="AF40" s="783"/>
      <c r="AG40" s="784"/>
      <c r="AR40" t="str">
        <f t="shared" si="9"/>
        <v/>
      </c>
      <c r="AS40" t="str">
        <f t="shared" si="10"/>
        <v/>
      </c>
    </row>
    <row r="41" spans="1:45" ht="15" customHeight="1" thickBot="1">
      <c r="A41" s="294"/>
      <c r="B41" s="295"/>
      <c r="C41" s="296"/>
      <c r="D41" s="296"/>
      <c r="E41" s="296"/>
      <c r="F41" s="296"/>
      <c r="G41" s="297"/>
      <c r="H41" s="299"/>
      <c r="I41" s="298"/>
      <c r="J41" s="298"/>
      <c r="K41" s="299"/>
      <c r="L41" s="304"/>
      <c r="M41" s="300"/>
      <c r="N41" s="301"/>
      <c r="P41" s="193" t="str">
        <f>IF(R41 = "", "", COUNT(R$4:$R41))</f>
        <v/>
      </c>
      <c r="Q41" s="193" t="str">
        <f t="shared" si="0"/>
        <v/>
      </c>
      <c r="R41" s="194" t="str">
        <f t="shared" si="1"/>
        <v/>
      </c>
      <c r="S41" s="195" t="str">
        <f t="shared" si="3"/>
        <v/>
      </c>
      <c r="T41" s="196" t="str">
        <f t="shared" si="4"/>
        <v/>
      </c>
      <c r="U41" s="197" t="str">
        <f t="shared" si="5"/>
        <v/>
      </c>
      <c r="V41" s="198" t="str">
        <f t="shared" si="2"/>
        <v/>
      </c>
      <c r="W41" s="339" t="str">
        <f t="shared" si="6"/>
        <v/>
      </c>
      <c r="X41" s="341" t="str">
        <f t="shared" si="7"/>
        <v/>
      </c>
      <c r="Y41" s="277"/>
      <c r="Z41" s="782"/>
      <c r="AA41" s="785"/>
      <c r="AB41" s="785"/>
      <c r="AC41" s="785"/>
      <c r="AD41" s="785"/>
      <c r="AE41" s="785"/>
      <c r="AF41" s="785"/>
      <c r="AG41" s="786"/>
      <c r="AR41" t="str">
        <f t="shared" si="9"/>
        <v/>
      </c>
      <c r="AS41" t="str">
        <f t="shared" si="10"/>
        <v/>
      </c>
    </row>
    <row r="42" spans="1:45">
      <c r="A42" s="294"/>
      <c r="B42" s="295"/>
      <c r="C42" s="296"/>
      <c r="D42" s="296"/>
      <c r="E42" s="296"/>
      <c r="F42" s="296"/>
      <c r="G42" s="297"/>
      <c r="H42" s="299"/>
      <c r="I42" s="298"/>
      <c r="J42" s="298"/>
      <c r="K42" s="299"/>
      <c r="L42" s="304"/>
      <c r="M42" s="300"/>
      <c r="N42" s="301"/>
      <c r="P42" s="193" t="str">
        <f>IF(R42 = "", "", COUNT(R$4:$R42))</f>
        <v/>
      </c>
      <c r="Q42" s="193" t="str">
        <f t="shared" si="0"/>
        <v/>
      </c>
      <c r="R42" s="194" t="str">
        <f t="shared" si="1"/>
        <v/>
      </c>
      <c r="S42" s="195" t="str">
        <f t="shared" si="3"/>
        <v/>
      </c>
      <c r="T42" s="196" t="str">
        <f t="shared" si="4"/>
        <v/>
      </c>
      <c r="U42" s="197" t="str">
        <f t="shared" si="5"/>
        <v/>
      </c>
      <c r="V42" s="198" t="str">
        <f t="shared" si="2"/>
        <v/>
      </c>
      <c r="W42" s="339" t="str">
        <f t="shared" si="6"/>
        <v/>
      </c>
      <c r="X42" s="341" t="str">
        <f t="shared" si="7"/>
        <v/>
      </c>
      <c r="Y42" s="277"/>
      <c r="AR42" t="str">
        <f t="shared" si="9"/>
        <v/>
      </c>
      <c r="AS42" t="str">
        <f t="shared" si="10"/>
        <v/>
      </c>
    </row>
    <row r="43" spans="1:45">
      <c r="A43" s="294"/>
      <c r="B43" s="295"/>
      <c r="C43" s="296"/>
      <c r="D43" s="296"/>
      <c r="E43" s="296"/>
      <c r="F43" s="296"/>
      <c r="G43" s="297"/>
      <c r="H43" s="299"/>
      <c r="I43" s="298"/>
      <c r="J43" s="298"/>
      <c r="K43" s="299"/>
      <c r="L43" s="304"/>
      <c r="M43" s="300"/>
      <c r="N43" s="301"/>
      <c r="P43" s="193" t="str">
        <f>IF(R43 = "", "", COUNT(R$4:$R43))</f>
        <v/>
      </c>
      <c r="Q43" s="193" t="str">
        <f t="shared" si="0"/>
        <v/>
      </c>
      <c r="R43" s="194" t="str">
        <f t="shared" si="1"/>
        <v/>
      </c>
      <c r="S43" s="195" t="str">
        <f t="shared" si="3"/>
        <v/>
      </c>
      <c r="T43" s="196" t="str">
        <f t="shared" si="4"/>
        <v/>
      </c>
      <c r="U43" s="197" t="str">
        <f t="shared" si="5"/>
        <v/>
      </c>
      <c r="V43" s="198" t="str">
        <f t="shared" si="2"/>
        <v/>
      </c>
      <c r="W43" s="339" t="str">
        <f t="shared" si="6"/>
        <v/>
      </c>
      <c r="X43" s="341" t="str">
        <f t="shared" si="7"/>
        <v/>
      </c>
      <c r="Y43" s="277"/>
      <c r="AR43" t="str">
        <f t="shared" si="9"/>
        <v/>
      </c>
      <c r="AS43" t="str">
        <f t="shared" si="10"/>
        <v/>
      </c>
    </row>
    <row r="44" spans="1:45">
      <c r="A44" s="294"/>
      <c r="B44" s="295"/>
      <c r="C44" s="296"/>
      <c r="D44" s="296"/>
      <c r="E44" s="296"/>
      <c r="F44" s="296"/>
      <c r="G44" s="297"/>
      <c r="H44" s="299"/>
      <c r="I44" s="298"/>
      <c r="J44" s="298"/>
      <c r="K44" s="299"/>
      <c r="L44" s="304"/>
      <c r="M44" s="300"/>
      <c r="N44" s="301"/>
      <c r="P44" s="193" t="str">
        <f>IF(R44 = "", "", COUNT(R$4:$R44))</f>
        <v/>
      </c>
      <c r="Q44" s="193" t="str">
        <f t="shared" si="0"/>
        <v/>
      </c>
      <c r="R44" s="194" t="str">
        <f t="shared" si="1"/>
        <v/>
      </c>
      <c r="S44" s="195" t="str">
        <f t="shared" si="3"/>
        <v/>
      </c>
      <c r="T44" s="196" t="str">
        <f t="shared" si="4"/>
        <v/>
      </c>
      <c r="U44" s="197" t="str">
        <f t="shared" si="5"/>
        <v/>
      </c>
      <c r="V44" s="198" t="str">
        <f t="shared" si="2"/>
        <v/>
      </c>
      <c r="W44" s="339" t="str">
        <f t="shared" si="6"/>
        <v/>
      </c>
      <c r="X44" s="341" t="str">
        <f t="shared" si="7"/>
        <v/>
      </c>
      <c r="Y44" s="277"/>
      <c r="AR44" t="str">
        <f t="shared" si="9"/>
        <v/>
      </c>
      <c r="AS44" t="str">
        <f t="shared" si="10"/>
        <v/>
      </c>
    </row>
    <row r="45" spans="1:45">
      <c r="A45" s="294"/>
      <c r="B45" s="295"/>
      <c r="C45" s="296"/>
      <c r="D45" s="296"/>
      <c r="E45" s="296"/>
      <c r="F45" s="296"/>
      <c r="G45" s="297"/>
      <c r="H45" s="288"/>
      <c r="I45" s="298"/>
      <c r="J45" s="298"/>
      <c r="K45" s="299"/>
      <c r="L45" s="304"/>
      <c r="M45" s="300"/>
      <c r="N45" s="301"/>
      <c r="P45" s="193" t="str">
        <f>IF(R45 = "", "", COUNT(R$4:$R45))</f>
        <v/>
      </c>
      <c r="Q45" s="193" t="str">
        <f t="shared" si="0"/>
        <v/>
      </c>
      <c r="R45" s="194" t="str">
        <f t="shared" si="1"/>
        <v/>
      </c>
      <c r="S45" s="195" t="str">
        <f t="shared" si="3"/>
        <v/>
      </c>
      <c r="T45" s="196" t="str">
        <f t="shared" si="4"/>
        <v/>
      </c>
      <c r="U45" s="197" t="str">
        <f t="shared" si="5"/>
        <v/>
      </c>
      <c r="V45" s="198" t="str">
        <f t="shared" si="2"/>
        <v/>
      </c>
      <c r="W45" s="339" t="str">
        <f t="shared" si="6"/>
        <v/>
      </c>
      <c r="X45" s="341" t="str">
        <f t="shared" si="7"/>
        <v/>
      </c>
      <c r="Y45" s="277"/>
      <c r="AR45" t="str">
        <f t="shared" si="9"/>
        <v/>
      </c>
      <c r="AS45" t="str">
        <f t="shared" si="10"/>
        <v/>
      </c>
    </row>
    <row r="46" spans="1:45">
      <c r="A46" s="294"/>
      <c r="B46" s="295"/>
      <c r="C46" s="296"/>
      <c r="D46" s="296"/>
      <c r="E46" s="296"/>
      <c r="F46" s="296"/>
      <c r="G46" s="297"/>
      <c r="H46" s="299"/>
      <c r="I46" s="298"/>
      <c r="J46" s="298"/>
      <c r="K46" s="299"/>
      <c r="L46" s="304"/>
      <c r="M46" s="300"/>
      <c r="N46" s="301"/>
      <c r="P46" s="193" t="str">
        <f>IF(R46 = "", "", COUNT(R$4:$R46))</f>
        <v/>
      </c>
      <c r="Q46" s="193" t="str">
        <f t="shared" si="0"/>
        <v/>
      </c>
      <c r="R46" s="194" t="str">
        <f t="shared" si="1"/>
        <v/>
      </c>
      <c r="S46" s="195" t="str">
        <f t="shared" si="3"/>
        <v/>
      </c>
      <c r="T46" s="196" t="str">
        <f t="shared" si="4"/>
        <v/>
      </c>
      <c r="U46" s="197" t="str">
        <f t="shared" si="5"/>
        <v/>
      </c>
      <c r="V46" s="198" t="str">
        <f t="shared" si="2"/>
        <v/>
      </c>
      <c r="W46" s="339" t="str">
        <f t="shared" si="6"/>
        <v/>
      </c>
      <c r="X46" s="341" t="str">
        <f t="shared" si="7"/>
        <v/>
      </c>
      <c r="Y46" s="277"/>
      <c r="AR46" t="str">
        <f t="shared" si="9"/>
        <v/>
      </c>
      <c r="AS46" t="str">
        <f t="shared" si="10"/>
        <v/>
      </c>
    </row>
    <row r="47" spans="1:45">
      <c r="A47" s="294"/>
      <c r="B47" s="295"/>
      <c r="C47" s="296"/>
      <c r="D47" s="296"/>
      <c r="E47" s="296"/>
      <c r="F47" s="296"/>
      <c r="G47" s="297"/>
      <c r="H47" s="299"/>
      <c r="I47" s="298"/>
      <c r="J47" s="298"/>
      <c r="K47" s="299"/>
      <c r="L47" s="304"/>
      <c r="M47" s="300"/>
      <c r="N47" s="301"/>
      <c r="P47" s="193" t="str">
        <f>IF(R47 = "", "", COUNT(R$4:$R47))</f>
        <v/>
      </c>
      <c r="Q47" s="193" t="str">
        <f t="shared" si="0"/>
        <v/>
      </c>
      <c r="R47" s="194" t="str">
        <f t="shared" si="1"/>
        <v/>
      </c>
      <c r="S47" s="195" t="str">
        <f t="shared" si="3"/>
        <v/>
      </c>
      <c r="T47" s="196" t="str">
        <f t="shared" si="4"/>
        <v/>
      </c>
      <c r="U47" s="197" t="str">
        <f t="shared" si="5"/>
        <v/>
      </c>
      <c r="V47" s="198" t="str">
        <f t="shared" si="2"/>
        <v/>
      </c>
      <c r="W47" s="339" t="str">
        <f t="shared" si="6"/>
        <v/>
      </c>
      <c r="X47" s="341" t="str">
        <f t="shared" si="7"/>
        <v/>
      </c>
      <c r="Y47" s="277"/>
      <c r="AR47" t="str">
        <f t="shared" si="9"/>
        <v/>
      </c>
      <c r="AS47" t="str">
        <f t="shared" si="10"/>
        <v/>
      </c>
    </row>
    <row r="48" spans="1:45">
      <c r="A48" s="294"/>
      <c r="B48" s="295"/>
      <c r="C48" s="296"/>
      <c r="D48" s="296"/>
      <c r="E48" s="296"/>
      <c r="F48" s="296"/>
      <c r="G48" s="297"/>
      <c r="H48" s="288"/>
      <c r="I48" s="298"/>
      <c r="J48" s="298"/>
      <c r="K48" s="299"/>
      <c r="L48" s="304"/>
      <c r="M48" s="300"/>
      <c r="N48" s="301"/>
      <c r="P48" s="193" t="str">
        <f>IF(R48 = "", "", COUNT(R$4:$R48))</f>
        <v/>
      </c>
      <c r="Q48" s="193" t="str">
        <f t="shared" si="0"/>
        <v/>
      </c>
      <c r="R48" s="194" t="str">
        <f t="shared" si="1"/>
        <v/>
      </c>
      <c r="S48" s="195" t="str">
        <f t="shared" si="3"/>
        <v/>
      </c>
      <c r="T48" s="196" t="str">
        <f t="shared" si="4"/>
        <v/>
      </c>
      <c r="U48" s="197" t="str">
        <f t="shared" si="5"/>
        <v/>
      </c>
      <c r="V48" s="198" t="str">
        <f t="shared" si="2"/>
        <v/>
      </c>
      <c r="W48" s="339" t="str">
        <f t="shared" si="6"/>
        <v/>
      </c>
      <c r="X48" s="341" t="str">
        <f t="shared" si="7"/>
        <v/>
      </c>
      <c r="Y48" s="277"/>
      <c r="AR48" t="str">
        <f t="shared" si="9"/>
        <v/>
      </c>
      <c r="AS48" t="str">
        <f t="shared" si="10"/>
        <v/>
      </c>
    </row>
    <row r="49" spans="1:45">
      <c r="A49" s="294"/>
      <c r="B49" s="295"/>
      <c r="C49" s="296"/>
      <c r="D49" s="296"/>
      <c r="E49" s="296"/>
      <c r="F49" s="296"/>
      <c r="G49" s="297"/>
      <c r="H49" s="299"/>
      <c r="I49" s="298"/>
      <c r="J49" s="298"/>
      <c r="K49" s="299"/>
      <c r="L49" s="304"/>
      <c r="M49" s="300"/>
      <c r="N49" s="301"/>
      <c r="P49" s="193" t="str">
        <f>IF(R49 = "", "", COUNT(R$4:$R49))</f>
        <v/>
      </c>
      <c r="Q49" s="193" t="str">
        <f t="shared" si="0"/>
        <v/>
      </c>
      <c r="R49" s="194" t="str">
        <f t="shared" si="1"/>
        <v/>
      </c>
      <c r="S49" s="195" t="str">
        <f t="shared" si="3"/>
        <v/>
      </c>
      <c r="T49" s="196" t="str">
        <f t="shared" si="4"/>
        <v/>
      </c>
      <c r="U49" s="197" t="str">
        <f t="shared" si="5"/>
        <v/>
      </c>
      <c r="V49" s="198" t="str">
        <f t="shared" si="2"/>
        <v/>
      </c>
      <c r="W49" s="339" t="str">
        <f t="shared" si="6"/>
        <v/>
      </c>
      <c r="X49" s="341" t="str">
        <f t="shared" si="7"/>
        <v/>
      </c>
      <c r="Y49" s="277"/>
      <c r="AR49" t="str">
        <f t="shared" si="9"/>
        <v/>
      </c>
      <c r="AS49" t="str">
        <f t="shared" si="10"/>
        <v/>
      </c>
    </row>
    <row r="50" spans="1:45">
      <c r="A50" s="294"/>
      <c r="B50" s="295"/>
      <c r="C50" s="296"/>
      <c r="D50" s="296"/>
      <c r="E50" s="296"/>
      <c r="F50" s="296"/>
      <c r="G50" s="297"/>
      <c r="H50" s="299"/>
      <c r="I50" s="298"/>
      <c r="J50" s="298"/>
      <c r="K50" s="299"/>
      <c r="L50" s="304"/>
      <c r="M50" s="300"/>
      <c r="N50" s="301"/>
      <c r="P50" s="193" t="str">
        <f>IF(R50 = "", "", COUNT(R$4:$R50))</f>
        <v/>
      </c>
      <c r="Q50" s="193" t="str">
        <f t="shared" si="0"/>
        <v/>
      </c>
      <c r="R50" s="194" t="str">
        <f t="shared" si="1"/>
        <v/>
      </c>
      <c r="S50" s="195" t="str">
        <f t="shared" si="3"/>
        <v/>
      </c>
      <c r="T50" s="196" t="str">
        <f t="shared" si="4"/>
        <v/>
      </c>
      <c r="U50" s="197" t="str">
        <f t="shared" si="5"/>
        <v/>
      </c>
      <c r="V50" s="198" t="str">
        <f t="shared" si="2"/>
        <v/>
      </c>
      <c r="W50" s="339" t="str">
        <f t="shared" si="6"/>
        <v/>
      </c>
      <c r="X50" s="341" t="str">
        <f t="shared" si="7"/>
        <v/>
      </c>
      <c r="Y50" s="277"/>
      <c r="AR50" t="str">
        <f t="shared" si="9"/>
        <v/>
      </c>
      <c r="AS50" t="str">
        <f t="shared" si="10"/>
        <v/>
      </c>
    </row>
    <row r="51" spans="1:45">
      <c r="A51" s="294"/>
      <c r="B51" s="295"/>
      <c r="C51" s="296"/>
      <c r="D51" s="296"/>
      <c r="E51" s="296"/>
      <c r="F51" s="296"/>
      <c r="G51" s="297"/>
      <c r="H51" s="299"/>
      <c r="I51" s="298"/>
      <c r="J51" s="298"/>
      <c r="K51" s="299"/>
      <c r="L51" s="304"/>
      <c r="M51" s="300"/>
      <c r="N51" s="301"/>
      <c r="P51" s="193" t="str">
        <f>IF(R51 = "", "", COUNT(R$4:$R51))</f>
        <v/>
      </c>
      <c r="Q51" s="193" t="str">
        <f t="shared" si="0"/>
        <v/>
      </c>
      <c r="R51" s="194" t="str">
        <f t="shared" si="1"/>
        <v/>
      </c>
      <c r="S51" s="195" t="str">
        <f t="shared" si="3"/>
        <v/>
      </c>
      <c r="T51" s="196" t="str">
        <f t="shared" si="4"/>
        <v/>
      </c>
      <c r="U51" s="197" t="str">
        <f t="shared" si="5"/>
        <v/>
      </c>
      <c r="V51" s="198" t="str">
        <f t="shared" si="2"/>
        <v/>
      </c>
      <c r="W51" s="339" t="str">
        <f t="shared" si="6"/>
        <v/>
      </c>
      <c r="X51" s="341" t="str">
        <f t="shared" si="7"/>
        <v/>
      </c>
      <c r="Y51" s="277"/>
      <c r="AR51" t="str">
        <f t="shared" si="9"/>
        <v/>
      </c>
      <c r="AS51" t="str">
        <f t="shared" si="10"/>
        <v/>
      </c>
    </row>
    <row r="52" spans="1:45">
      <c r="A52" s="294"/>
      <c r="B52" s="295"/>
      <c r="C52" s="296"/>
      <c r="D52" s="296"/>
      <c r="E52" s="296"/>
      <c r="F52" s="296"/>
      <c r="G52" s="297"/>
      <c r="H52" s="299"/>
      <c r="I52" s="298"/>
      <c r="J52" s="298"/>
      <c r="K52" s="299"/>
      <c r="L52" s="304"/>
      <c r="M52" s="300"/>
      <c r="N52" s="301"/>
      <c r="P52" s="193" t="str">
        <f>IF(R52 = "", "", COUNT(R$4:$R52))</f>
        <v/>
      </c>
      <c r="Q52" s="193" t="str">
        <f t="shared" si="0"/>
        <v/>
      </c>
      <c r="R52" s="194" t="str">
        <f t="shared" si="1"/>
        <v/>
      </c>
      <c r="S52" s="195" t="str">
        <f t="shared" si="3"/>
        <v/>
      </c>
      <c r="T52" s="196" t="str">
        <f t="shared" si="4"/>
        <v/>
      </c>
      <c r="U52" s="197" t="str">
        <f t="shared" si="5"/>
        <v/>
      </c>
      <c r="V52" s="198" t="str">
        <f t="shared" si="2"/>
        <v/>
      </c>
      <c r="W52" s="339" t="str">
        <f t="shared" si="6"/>
        <v/>
      </c>
      <c r="X52" s="341" t="str">
        <f t="shared" si="7"/>
        <v/>
      </c>
      <c r="Y52" s="277"/>
      <c r="AR52" t="str">
        <f t="shared" si="9"/>
        <v/>
      </c>
      <c r="AS52" t="str">
        <f t="shared" si="10"/>
        <v/>
      </c>
    </row>
    <row r="53" spans="1:45">
      <c r="A53" s="294"/>
      <c r="B53" s="295"/>
      <c r="C53" s="296"/>
      <c r="D53" s="296"/>
      <c r="E53" s="296"/>
      <c r="F53" s="296"/>
      <c r="G53" s="297"/>
      <c r="H53" s="299"/>
      <c r="I53" s="298"/>
      <c r="J53" s="298"/>
      <c r="K53" s="299"/>
      <c r="L53" s="304"/>
      <c r="M53" s="300"/>
      <c r="N53" s="301"/>
      <c r="P53" s="193" t="str">
        <f>IF(R53 = "", "", COUNT(R$4:$R53))</f>
        <v/>
      </c>
      <c r="Q53" s="193" t="str">
        <f t="shared" si="0"/>
        <v/>
      </c>
      <c r="R53" s="194" t="str">
        <f t="shared" si="1"/>
        <v/>
      </c>
      <c r="S53" s="195" t="str">
        <f t="shared" si="3"/>
        <v/>
      </c>
      <c r="T53" s="196" t="str">
        <f t="shared" si="4"/>
        <v/>
      </c>
      <c r="U53" s="197" t="str">
        <f t="shared" si="5"/>
        <v/>
      </c>
      <c r="V53" s="198" t="str">
        <f t="shared" si="2"/>
        <v/>
      </c>
      <c r="W53" s="339" t="str">
        <f t="shared" si="6"/>
        <v/>
      </c>
      <c r="X53" s="341" t="str">
        <f t="shared" si="7"/>
        <v/>
      </c>
      <c r="Y53" s="277"/>
      <c r="AR53" t="str">
        <f t="shared" si="9"/>
        <v/>
      </c>
      <c r="AS53" t="str">
        <f t="shared" si="10"/>
        <v/>
      </c>
    </row>
    <row r="54" spans="1:45">
      <c r="A54" s="294"/>
      <c r="B54" s="295"/>
      <c r="C54" s="296"/>
      <c r="D54" s="296"/>
      <c r="E54" s="296"/>
      <c r="F54" s="296"/>
      <c r="G54" s="297"/>
      <c r="H54" s="299"/>
      <c r="I54" s="298"/>
      <c r="J54" s="298"/>
      <c r="K54" s="299"/>
      <c r="L54" s="304"/>
      <c r="M54" s="300"/>
      <c r="N54" s="301"/>
      <c r="P54" s="193" t="str">
        <f>IF(R54 = "", "", COUNT(R$4:$R54))</f>
        <v/>
      </c>
      <c r="Q54" s="193" t="str">
        <f t="shared" si="0"/>
        <v/>
      </c>
      <c r="R54" s="194" t="str">
        <f t="shared" si="1"/>
        <v/>
      </c>
      <c r="S54" s="195" t="str">
        <f t="shared" si="3"/>
        <v/>
      </c>
      <c r="T54" s="196" t="str">
        <f t="shared" si="4"/>
        <v/>
      </c>
      <c r="U54" s="197" t="str">
        <f t="shared" si="5"/>
        <v/>
      </c>
      <c r="V54" s="198" t="str">
        <f t="shared" si="2"/>
        <v/>
      </c>
      <c r="W54" s="339" t="str">
        <f t="shared" si="6"/>
        <v/>
      </c>
      <c r="X54" s="341" t="str">
        <f t="shared" si="7"/>
        <v/>
      </c>
      <c r="Y54" s="277"/>
      <c r="AR54" t="str">
        <f t="shared" si="9"/>
        <v/>
      </c>
      <c r="AS54" t="str">
        <f t="shared" si="10"/>
        <v/>
      </c>
    </row>
    <row r="55" spans="1:45">
      <c r="A55" s="294"/>
      <c r="B55" s="295"/>
      <c r="C55" s="296"/>
      <c r="D55" s="296"/>
      <c r="E55" s="296"/>
      <c r="F55" s="296"/>
      <c r="G55" s="297"/>
      <c r="H55" s="288"/>
      <c r="I55" s="298"/>
      <c r="J55" s="298"/>
      <c r="K55" s="299"/>
      <c r="L55" s="304"/>
      <c r="M55" s="300"/>
      <c r="N55" s="301"/>
      <c r="P55" s="193" t="str">
        <f>IF(R55 = "", "", COUNT(R$4:$R55))</f>
        <v/>
      </c>
      <c r="Q55" s="193" t="str">
        <f t="shared" si="0"/>
        <v/>
      </c>
      <c r="R55" s="194" t="str">
        <f t="shared" si="1"/>
        <v/>
      </c>
      <c r="S55" s="195" t="str">
        <f t="shared" si="3"/>
        <v/>
      </c>
      <c r="T55" s="196" t="str">
        <f t="shared" si="4"/>
        <v/>
      </c>
      <c r="U55" s="197" t="str">
        <f t="shared" si="5"/>
        <v/>
      </c>
      <c r="V55" s="198" t="str">
        <f t="shared" si="2"/>
        <v/>
      </c>
      <c r="W55" s="339" t="str">
        <f t="shared" si="6"/>
        <v/>
      </c>
      <c r="X55" s="341" t="str">
        <f t="shared" si="7"/>
        <v/>
      </c>
      <c r="Y55" s="277"/>
      <c r="AR55" t="str">
        <f t="shared" si="9"/>
        <v/>
      </c>
      <c r="AS55" t="str">
        <f t="shared" si="10"/>
        <v/>
      </c>
    </row>
    <row r="56" spans="1:45">
      <c r="A56" s="294"/>
      <c r="B56" s="295"/>
      <c r="C56" s="296"/>
      <c r="D56" s="296"/>
      <c r="E56" s="296"/>
      <c r="F56" s="296"/>
      <c r="G56" s="297"/>
      <c r="H56" s="288"/>
      <c r="I56" s="298"/>
      <c r="J56" s="298"/>
      <c r="K56" s="299"/>
      <c r="L56" s="304"/>
      <c r="M56" s="300"/>
      <c r="N56" s="301"/>
      <c r="P56" s="193" t="str">
        <f>IF(R56 = "", "", COUNT(R$4:$R56))</f>
        <v/>
      </c>
      <c r="Q56" s="193" t="str">
        <f t="shared" si="0"/>
        <v/>
      </c>
      <c r="R56" s="194" t="str">
        <f t="shared" si="1"/>
        <v/>
      </c>
      <c r="S56" s="195" t="str">
        <f t="shared" si="3"/>
        <v/>
      </c>
      <c r="T56" s="196" t="str">
        <f t="shared" si="4"/>
        <v/>
      </c>
      <c r="U56" s="197" t="str">
        <f t="shared" si="5"/>
        <v/>
      </c>
      <c r="V56" s="198" t="str">
        <f t="shared" si="2"/>
        <v/>
      </c>
      <c r="W56" s="339" t="str">
        <f t="shared" si="6"/>
        <v/>
      </c>
      <c r="X56" s="341" t="str">
        <f t="shared" si="7"/>
        <v/>
      </c>
      <c r="Y56" s="277"/>
      <c r="AR56" t="str">
        <f t="shared" si="9"/>
        <v/>
      </c>
      <c r="AS56" t="str">
        <f t="shared" si="10"/>
        <v/>
      </c>
    </row>
    <row r="57" spans="1:45">
      <c r="A57" s="294"/>
      <c r="B57" s="295"/>
      <c r="C57" s="296"/>
      <c r="D57" s="296"/>
      <c r="E57" s="296"/>
      <c r="F57" s="296"/>
      <c r="G57" s="297"/>
      <c r="H57" s="288"/>
      <c r="I57" s="298"/>
      <c r="J57" s="298"/>
      <c r="K57" s="299"/>
      <c r="L57" s="304"/>
      <c r="M57" s="300"/>
      <c r="N57" s="301"/>
      <c r="P57" s="193" t="str">
        <f>IF(R57 = "", "", COUNT(R$4:$R57))</f>
        <v/>
      </c>
      <c r="Q57" s="193" t="str">
        <f t="shared" si="0"/>
        <v/>
      </c>
      <c r="R57" s="194" t="str">
        <f t="shared" si="1"/>
        <v/>
      </c>
      <c r="S57" s="195" t="str">
        <f t="shared" si="3"/>
        <v/>
      </c>
      <c r="T57" s="196" t="str">
        <f t="shared" si="4"/>
        <v/>
      </c>
      <c r="U57" s="197" t="str">
        <f t="shared" si="5"/>
        <v/>
      </c>
      <c r="V57" s="198" t="str">
        <f t="shared" si="2"/>
        <v/>
      </c>
      <c r="W57" s="339" t="str">
        <f t="shared" si="6"/>
        <v/>
      </c>
      <c r="X57" s="341" t="str">
        <f t="shared" si="7"/>
        <v/>
      </c>
      <c r="Y57" s="277"/>
      <c r="AR57" t="str">
        <f t="shared" si="9"/>
        <v/>
      </c>
      <c r="AS57" t="str">
        <f t="shared" si="10"/>
        <v/>
      </c>
    </row>
    <row r="58" spans="1:45">
      <c r="A58" s="294"/>
      <c r="B58" s="295"/>
      <c r="C58" s="296"/>
      <c r="D58" s="296"/>
      <c r="E58" s="296"/>
      <c r="F58" s="296"/>
      <c r="G58" s="297"/>
      <c r="H58" s="299"/>
      <c r="I58" s="298"/>
      <c r="J58" s="298"/>
      <c r="K58" s="299"/>
      <c r="L58" s="304"/>
      <c r="M58" s="300"/>
      <c r="N58" s="301"/>
      <c r="P58" s="193" t="str">
        <f>IF(R58 = "", "", COUNT(R$4:$R58))</f>
        <v/>
      </c>
      <c r="Q58" s="193" t="str">
        <f t="shared" si="0"/>
        <v/>
      </c>
      <c r="R58" s="194" t="str">
        <f t="shared" si="1"/>
        <v/>
      </c>
      <c r="S58" s="195" t="str">
        <f t="shared" si="3"/>
        <v/>
      </c>
      <c r="T58" s="196" t="str">
        <f t="shared" si="4"/>
        <v/>
      </c>
      <c r="U58" s="197" t="str">
        <f t="shared" si="5"/>
        <v/>
      </c>
      <c r="V58" s="198" t="str">
        <f t="shared" si="2"/>
        <v/>
      </c>
      <c r="W58" s="339" t="str">
        <f t="shared" si="6"/>
        <v/>
      </c>
      <c r="X58" s="341" t="str">
        <f t="shared" si="7"/>
        <v/>
      </c>
      <c r="Y58" s="277"/>
      <c r="AR58" t="str">
        <f t="shared" si="9"/>
        <v/>
      </c>
      <c r="AS58" t="str">
        <f t="shared" si="10"/>
        <v/>
      </c>
    </row>
    <row r="59" spans="1:45">
      <c r="A59" s="294"/>
      <c r="B59" s="295"/>
      <c r="C59" s="296"/>
      <c r="D59" s="296"/>
      <c r="E59" s="296"/>
      <c r="F59" s="296"/>
      <c r="G59" s="297"/>
      <c r="H59" s="299"/>
      <c r="I59" s="298"/>
      <c r="J59" s="298"/>
      <c r="K59" s="299"/>
      <c r="L59" s="304"/>
      <c r="M59" s="300"/>
      <c r="N59" s="301"/>
      <c r="P59" s="193" t="str">
        <f>IF(R59 = "", "", COUNT(R$4:$R59))</f>
        <v/>
      </c>
      <c r="Q59" s="193" t="str">
        <f t="shared" si="0"/>
        <v/>
      </c>
      <c r="R59" s="194" t="str">
        <f t="shared" si="1"/>
        <v/>
      </c>
      <c r="S59" s="195" t="str">
        <f t="shared" si="3"/>
        <v/>
      </c>
      <c r="T59" s="196" t="str">
        <f t="shared" si="4"/>
        <v/>
      </c>
      <c r="U59" s="197" t="str">
        <f t="shared" si="5"/>
        <v/>
      </c>
      <c r="V59" s="198" t="str">
        <f t="shared" si="2"/>
        <v/>
      </c>
      <c r="W59" s="339" t="str">
        <f t="shared" si="6"/>
        <v/>
      </c>
      <c r="X59" s="341" t="str">
        <f t="shared" si="7"/>
        <v/>
      </c>
      <c r="Y59" s="277"/>
      <c r="AR59" t="str">
        <f t="shared" si="9"/>
        <v/>
      </c>
      <c r="AS59" t="str">
        <f t="shared" si="10"/>
        <v/>
      </c>
    </row>
    <row r="60" spans="1:45">
      <c r="A60" s="294"/>
      <c r="B60" s="295"/>
      <c r="C60" s="296"/>
      <c r="D60" s="296"/>
      <c r="E60" s="296"/>
      <c r="F60" s="296"/>
      <c r="G60" s="297"/>
      <c r="H60" s="299"/>
      <c r="I60" s="298"/>
      <c r="J60" s="298"/>
      <c r="K60" s="299"/>
      <c r="L60" s="304"/>
      <c r="M60" s="300"/>
      <c r="N60" s="301"/>
      <c r="P60" s="193" t="str">
        <f>IF(R60 = "", "", COUNT(R$4:$R60))</f>
        <v/>
      </c>
      <c r="Q60" s="193" t="str">
        <f t="shared" si="0"/>
        <v/>
      </c>
      <c r="R60" s="194" t="str">
        <f t="shared" si="1"/>
        <v/>
      </c>
      <c r="S60" s="195" t="str">
        <f t="shared" si="3"/>
        <v/>
      </c>
      <c r="T60" s="196" t="str">
        <f t="shared" si="4"/>
        <v/>
      </c>
      <c r="U60" s="197" t="str">
        <f t="shared" si="5"/>
        <v/>
      </c>
      <c r="V60" s="198" t="str">
        <f t="shared" si="2"/>
        <v/>
      </c>
      <c r="W60" s="339" t="str">
        <f t="shared" si="6"/>
        <v/>
      </c>
      <c r="X60" s="341" t="str">
        <f t="shared" si="7"/>
        <v/>
      </c>
      <c r="Y60" s="277"/>
      <c r="AR60" t="str">
        <f t="shared" si="9"/>
        <v/>
      </c>
      <c r="AS60" t="str">
        <f t="shared" si="10"/>
        <v/>
      </c>
    </row>
    <row r="61" spans="1:45">
      <c r="A61" s="294"/>
      <c r="B61" s="295"/>
      <c r="C61" s="296"/>
      <c r="D61" s="296"/>
      <c r="E61" s="296"/>
      <c r="F61" s="296"/>
      <c r="G61" s="297"/>
      <c r="H61" s="299"/>
      <c r="I61" s="298"/>
      <c r="J61" s="298"/>
      <c r="K61" s="299"/>
      <c r="L61" s="304"/>
      <c r="M61" s="300"/>
      <c r="N61" s="301"/>
      <c r="P61" s="193" t="str">
        <f>IF(R61 = "", "", COUNT(R$4:$R61))</f>
        <v/>
      </c>
      <c r="Q61" s="193" t="str">
        <f t="shared" si="0"/>
        <v/>
      </c>
      <c r="R61" s="194" t="str">
        <f t="shared" si="1"/>
        <v/>
      </c>
      <c r="S61" s="195" t="str">
        <f t="shared" si="3"/>
        <v/>
      </c>
      <c r="T61" s="196" t="str">
        <f t="shared" si="4"/>
        <v/>
      </c>
      <c r="U61" s="197" t="str">
        <f t="shared" si="5"/>
        <v/>
      </c>
      <c r="V61" s="198" t="str">
        <f t="shared" si="2"/>
        <v/>
      </c>
      <c r="W61" s="339" t="str">
        <f t="shared" si="6"/>
        <v/>
      </c>
      <c r="X61" s="341" t="str">
        <f t="shared" si="7"/>
        <v/>
      </c>
      <c r="Y61" s="277"/>
      <c r="AR61" t="str">
        <f t="shared" si="9"/>
        <v/>
      </c>
      <c r="AS61" t="str">
        <f t="shared" si="10"/>
        <v/>
      </c>
    </row>
    <row r="62" spans="1:45">
      <c r="A62" s="294"/>
      <c r="B62" s="295"/>
      <c r="C62" s="296"/>
      <c r="D62" s="296"/>
      <c r="E62" s="296"/>
      <c r="F62" s="296"/>
      <c r="G62" s="297"/>
      <c r="H62" s="299"/>
      <c r="I62" s="298"/>
      <c r="J62" s="298"/>
      <c r="K62" s="299"/>
      <c r="L62" s="304"/>
      <c r="M62" s="300"/>
      <c r="N62" s="301"/>
      <c r="P62" s="193" t="str">
        <f>IF(R62 = "", "", COUNT(R$4:$R62))</f>
        <v/>
      </c>
      <c r="Q62" s="193" t="str">
        <f t="shared" si="0"/>
        <v/>
      </c>
      <c r="R62" s="194" t="str">
        <f t="shared" si="1"/>
        <v/>
      </c>
      <c r="S62" s="195" t="str">
        <f t="shared" si="3"/>
        <v/>
      </c>
      <c r="T62" s="196" t="str">
        <f t="shared" si="4"/>
        <v/>
      </c>
      <c r="U62" s="197" t="str">
        <f t="shared" si="5"/>
        <v/>
      </c>
      <c r="V62" s="198" t="str">
        <f t="shared" si="2"/>
        <v/>
      </c>
      <c r="W62" s="339" t="str">
        <f t="shared" si="6"/>
        <v/>
      </c>
      <c r="X62" s="341" t="str">
        <f t="shared" si="7"/>
        <v/>
      </c>
      <c r="Y62" s="277"/>
      <c r="AR62" t="str">
        <f t="shared" si="9"/>
        <v/>
      </c>
      <c r="AS62" t="str">
        <f t="shared" si="10"/>
        <v/>
      </c>
    </row>
    <row r="63" spans="1:45">
      <c r="A63" s="294"/>
      <c r="B63" s="295"/>
      <c r="C63" s="296"/>
      <c r="D63" s="296"/>
      <c r="E63" s="296"/>
      <c r="F63" s="296"/>
      <c r="G63" s="297"/>
      <c r="H63" s="299"/>
      <c r="I63" s="298"/>
      <c r="J63" s="298"/>
      <c r="K63" s="299"/>
      <c r="L63" s="304"/>
      <c r="M63" s="300"/>
      <c r="N63" s="301"/>
      <c r="P63" s="193" t="str">
        <f>IF(R63 = "", "", COUNT(R$4:$R63))</f>
        <v/>
      </c>
      <c r="Q63" s="193" t="str">
        <f t="shared" si="0"/>
        <v/>
      </c>
      <c r="R63" s="194" t="str">
        <f t="shared" si="1"/>
        <v/>
      </c>
      <c r="S63" s="195" t="str">
        <f t="shared" si="3"/>
        <v/>
      </c>
      <c r="T63" s="196" t="str">
        <f t="shared" si="4"/>
        <v/>
      </c>
      <c r="U63" s="197" t="str">
        <f t="shared" si="5"/>
        <v/>
      </c>
      <c r="V63" s="198" t="str">
        <f t="shared" si="2"/>
        <v/>
      </c>
      <c r="W63" s="339" t="str">
        <f t="shared" si="6"/>
        <v/>
      </c>
      <c r="X63" s="341" t="str">
        <f t="shared" si="7"/>
        <v/>
      </c>
      <c r="Y63" s="277"/>
      <c r="AR63" t="str">
        <f t="shared" si="9"/>
        <v/>
      </c>
      <c r="AS63" t="str">
        <f t="shared" si="10"/>
        <v/>
      </c>
    </row>
    <row r="64" spans="1:45">
      <c r="A64" s="294"/>
      <c r="B64" s="295"/>
      <c r="C64" s="296"/>
      <c r="D64" s="296"/>
      <c r="E64" s="296"/>
      <c r="F64" s="296"/>
      <c r="G64" s="297"/>
      <c r="H64" s="299"/>
      <c r="I64" s="298"/>
      <c r="J64" s="298"/>
      <c r="K64" s="299"/>
      <c r="L64" s="304"/>
      <c r="M64" s="300"/>
      <c r="N64" s="301"/>
      <c r="P64" s="193" t="str">
        <f>IF(R64 = "", "", COUNT(R$4:$R64))</f>
        <v/>
      </c>
      <c r="Q64" s="193" t="str">
        <f t="shared" si="0"/>
        <v/>
      </c>
      <c r="R64" s="194" t="str">
        <f t="shared" si="1"/>
        <v/>
      </c>
      <c r="S64" s="195" t="str">
        <f t="shared" si="3"/>
        <v/>
      </c>
      <c r="T64" s="196" t="str">
        <f t="shared" si="4"/>
        <v/>
      </c>
      <c r="U64" s="197" t="str">
        <f t="shared" si="5"/>
        <v/>
      </c>
      <c r="V64" s="198" t="str">
        <f t="shared" si="2"/>
        <v/>
      </c>
      <c r="W64" s="339" t="str">
        <f t="shared" si="6"/>
        <v/>
      </c>
      <c r="X64" s="341" t="str">
        <f t="shared" si="7"/>
        <v/>
      </c>
      <c r="Y64" s="277"/>
      <c r="AR64" t="str">
        <f t="shared" si="9"/>
        <v/>
      </c>
      <c r="AS64" t="str">
        <f t="shared" si="10"/>
        <v/>
      </c>
    </row>
    <row r="65" spans="1:45">
      <c r="A65" s="294"/>
      <c r="B65" s="295"/>
      <c r="C65" s="296"/>
      <c r="D65" s="296"/>
      <c r="E65" s="296"/>
      <c r="F65" s="296"/>
      <c r="G65" s="297"/>
      <c r="H65" s="299"/>
      <c r="I65" s="298"/>
      <c r="J65" s="298"/>
      <c r="K65" s="299"/>
      <c r="L65" s="304"/>
      <c r="M65" s="300"/>
      <c r="N65" s="301"/>
      <c r="P65" s="193" t="str">
        <f>IF(R65 = "", "", COUNT(R$4:$R65))</f>
        <v/>
      </c>
      <c r="Q65" s="193" t="str">
        <f t="shared" si="0"/>
        <v/>
      </c>
      <c r="R65" s="194" t="str">
        <f t="shared" si="1"/>
        <v/>
      </c>
      <c r="S65" s="195" t="str">
        <f t="shared" si="3"/>
        <v/>
      </c>
      <c r="T65" s="196" t="str">
        <f t="shared" si="4"/>
        <v/>
      </c>
      <c r="U65" s="197" t="str">
        <f t="shared" si="5"/>
        <v/>
      </c>
      <c r="V65" s="198" t="str">
        <f t="shared" si="2"/>
        <v/>
      </c>
      <c r="W65" s="339" t="str">
        <f t="shared" si="6"/>
        <v/>
      </c>
      <c r="X65" s="341" t="str">
        <f t="shared" si="7"/>
        <v/>
      </c>
      <c r="Y65" s="277"/>
      <c r="AR65" t="str">
        <f t="shared" si="9"/>
        <v/>
      </c>
      <c r="AS65" t="str">
        <f t="shared" si="10"/>
        <v/>
      </c>
    </row>
    <row r="66" spans="1:45">
      <c r="A66" s="294"/>
      <c r="B66" s="295"/>
      <c r="C66" s="296"/>
      <c r="D66" s="296"/>
      <c r="E66" s="296"/>
      <c r="F66" s="296"/>
      <c r="G66" s="297"/>
      <c r="H66" s="299"/>
      <c r="I66" s="298"/>
      <c r="J66" s="298"/>
      <c r="K66" s="299"/>
      <c r="L66" s="304"/>
      <c r="M66" s="300"/>
      <c r="N66" s="301"/>
      <c r="P66" s="193" t="str">
        <f>IF(R66 = "", "", COUNT(R$4:$R66))</f>
        <v/>
      </c>
      <c r="Q66" s="193" t="str">
        <f t="shared" si="0"/>
        <v/>
      </c>
      <c r="R66" s="194" t="str">
        <f t="shared" si="1"/>
        <v/>
      </c>
      <c r="S66" s="195" t="str">
        <f t="shared" si="3"/>
        <v/>
      </c>
      <c r="T66" s="196" t="str">
        <f t="shared" si="4"/>
        <v/>
      </c>
      <c r="U66" s="197" t="str">
        <f t="shared" si="5"/>
        <v/>
      </c>
      <c r="V66" s="198" t="str">
        <f t="shared" si="2"/>
        <v/>
      </c>
      <c r="W66" s="339" t="str">
        <f t="shared" si="6"/>
        <v/>
      </c>
      <c r="X66" s="341" t="str">
        <f t="shared" si="7"/>
        <v/>
      </c>
      <c r="Y66" s="277"/>
      <c r="AR66" t="str">
        <f t="shared" si="9"/>
        <v/>
      </c>
      <c r="AS66" t="str">
        <f t="shared" si="10"/>
        <v/>
      </c>
    </row>
    <row r="67" spans="1:45">
      <c r="A67" s="294"/>
      <c r="B67" s="295"/>
      <c r="C67" s="296"/>
      <c r="D67" s="296"/>
      <c r="E67" s="296"/>
      <c r="F67" s="296"/>
      <c r="G67" s="297"/>
      <c r="H67" s="303"/>
      <c r="I67" s="298"/>
      <c r="J67" s="298"/>
      <c r="K67" s="299"/>
      <c r="L67" s="304"/>
      <c r="M67" s="300"/>
      <c r="N67" s="301"/>
      <c r="P67" s="193" t="str">
        <f>IF(R67 = "", "", COUNT(R$4:$R67))</f>
        <v/>
      </c>
      <c r="Q67" s="193" t="str">
        <f t="shared" si="0"/>
        <v/>
      </c>
      <c r="R67" s="194" t="str">
        <f t="shared" si="1"/>
        <v/>
      </c>
      <c r="S67" s="195" t="str">
        <f t="shared" si="3"/>
        <v/>
      </c>
      <c r="T67" s="196" t="str">
        <f t="shared" si="4"/>
        <v/>
      </c>
      <c r="U67" s="197" t="str">
        <f t="shared" si="5"/>
        <v/>
      </c>
      <c r="V67" s="198" t="str">
        <f t="shared" si="2"/>
        <v/>
      </c>
      <c r="W67" s="339" t="str">
        <f t="shared" si="6"/>
        <v/>
      </c>
      <c r="X67" s="341" t="str">
        <f t="shared" si="7"/>
        <v/>
      </c>
      <c r="Y67" s="277"/>
      <c r="AR67" t="str">
        <f t="shared" si="9"/>
        <v/>
      </c>
      <c r="AS67" t="str">
        <f t="shared" si="10"/>
        <v/>
      </c>
    </row>
    <row r="68" spans="1:45">
      <c r="A68" s="294"/>
      <c r="B68" s="295"/>
      <c r="C68" s="296"/>
      <c r="D68" s="296"/>
      <c r="E68" s="296"/>
      <c r="F68" s="296"/>
      <c r="G68" s="297"/>
      <c r="H68" s="303"/>
      <c r="I68" s="298"/>
      <c r="J68" s="298"/>
      <c r="K68" s="299"/>
      <c r="L68" s="304"/>
      <c r="M68" s="300"/>
      <c r="N68" s="301"/>
      <c r="P68" s="193" t="str">
        <f>IF(R68 = "", "", COUNT(R$4:$R68))</f>
        <v/>
      </c>
      <c r="Q68" s="193" t="str">
        <f t="shared" ref="Q68:Q131" si="11">IF(C68 &gt; 0, YEAR(B68), "")</f>
        <v/>
      </c>
      <c r="R68" s="194" t="str">
        <f t="shared" ref="R68:R131" si="12">IF(A68="", "", IF(G68="",1,IF(G68="O",1,IF(G68="C",8.4,IF(G68="B",8.4,IF(G68="A",76.8,IF(G68="K",76.8,"ERR")))))))</f>
        <v/>
      </c>
      <c r="S68" s="195" t="str">
        <f t="shared" si="3"/>
        <v/>
      </c>
      <c r="T68" s="196" t="str">
        <f t="shared" si="4"/>
        <v/>
      </c>
      <c r="U68" s="197" t="str">
        <f t="shared" si="5"/>
        <v/>
      </c>
      <c r="V68" s="198" t="str">
        <f t="shared" ref="V68:V131" si="13">IF(IF(M68&lt;&gt;"",G68,"")=0, "O", IF(M68&lt;&gt;"",G68,""))</f>
        <v/>
      </c>
      <c r="W68" s="339" t="str">
        <f t="shared" si="6"/>
        <v/>
      </c>
      <c r="X68" s="341" t="str">
        <f t="shared" si="7"/>
        <v/>
      </c>
      <c r="Y68" s="277"/>
      <c r="AR68" t="str">
        <f t="shared" si="9"/>
        <v/>
      </c>
      <c r="AS68" t="str">
        <f t="shared" si="10"/>
        <v/>
      </c>
    </row>
    <row r="69" spans="1:45">
      <c r="A69" s="294"/>
      <c r="B69" s="295"/>
      <c r="C69" s="296"/>
      <c r="D69" s="296"/>
      <c r="E69" s="296"/>
      <c r="F69" s="296"/>
      <c r="G69" s="297"/>
      <c r="H69" s="303"/>
      <c r="I69" s="298"/>
      <c r="J69" s="298"/>
      <c r="K69" s="299"/>
      <c r="L69" s="304"/>
      <c r="M69" s="300"/>
      <c r="N69" s="301"/>
      <c r="P69" s="193" t="str">
        <f>IF(R69 = "", "", COUNT(R$4:$R69))</f>
        <v/>
      </c>
      <c r="Q69" s="193" t="str">
        <f t="shared" si="11"/>
        <v/>
      </c>
      <c r="R69" s="194" t="str">
        <f t="shared" si="12"/>
        <v/>
      </c>
      <c r="S69" s="195" t="str">
        <f t="shared" ref="S69:S132" si="14">IF(L69&lt;&gt;"",R69,"")</f>
        <v/>
      </c>
      <c r="T69" s="196" t="str">
        <f t="shared" ref="T69:T132" si="15">IF(IF(L69&lt;&gt;"",G69,"")=0, "O", IF(L69&lt;&gt;"",G69,""))</f>
        <v/>
      </c>
      <c r="U69" s="197" t="str">
        <f t="shared" ref="U69:U132" si="16">IF(M69&lt;&gt;"",R69,"")</f>
        <v/>
      </c>
      <c r="V69" s="198" t="str">
        <f t="shared" si="13"/>
        <v/>
      </c>
      <c r="W69" s="339" t="str">
        <f t="shared" ref="W69:W132" si="17">IF(N69&lt;&gt;"",R69,"")</f>
        <v/>
      </c>
      <c r="X69" s="341" t="str">
        <f t="shared" ref="X69:X132" si="18">IF(IF(N69&lt;&gt;"",G69,"")=0, "O", IF(N69&lt;&gt;"",G69,""))</f>
        <v/>
      </c>
      <c r="Y69" s="277"/>
      <c r="AR69" t="str">
        <f t="shared" ref="AR69:AR132" si="19">IF(P69&gt;0, P69, "")</f>
        <v/>
      </c>
      <c r="AS69" t="str">
        <f t="shared" ref="AS69:AS132" si="20">IF(OR(L69="Y",M69="Y",N69="Y"),"Y","")</f>
        <v/>
      </c>
    </row>
    <row r="70" spans="1:45">
      <c r="A70" s="294"/>
      <c r="B70" s="295"/>
      <c r="C70" s="296"/>
      <c r="D70" s="296"/>
      <c r="E70" s="296"/>
      <c r="F70" s="296"/>
      <c r="G70" s="297"/>
      <c r="H70" s="303"/>
      <c r="I70" s="298"/>
      <c r="J70" s="298"/>
      <c r="K70" s="299"/>
      <c r="L70" s="304"/>
      <c r="M70" s="300"/>
      <c r="N70" s="301"/>
      <c r="P70" s="193" t="str">
        <f>IF(R70 = "", "", COUNT(R$4:$R70))</f>
        <v/>
      </c>
      <c r="Q70" s="193" t="str">
        <f t="shared" si="11"/>
        <v/>
      </c>
      <c r="R70" s="194" t="str">
        <f t="shared" si="12"/>
        <v/>
      </c>
      <c r="S70" s="195" t="str">
        <f t="shared" si="14"/>
        <v/>
      </c>
      <c r="T70" s="196" t="str">
        <f t="shared" si="15"/>
        <v/>
      </c>
      <c r="U70" s="197" t="str">
        <f t="shared" si="16"/>
        <v/>
      </c>
      <c r="V70" s="198" t="str">
        <f t="shared" si="13"/>
        <v/>
      </c>
      <c r="W70" s="339" t="str">
        <f t="shared" si="17"/>
        <v/>
      </c>
      <c r="X70" s="341" t="str">
        <f t="shared" si="18"/>
        <v/>
      </c>
      <c r="Y70" s="277"/>
      <c r="AR70" t="str">
        <f t="shared" si="19"/>
        <v/>
      </c>
      <c r="AS70" t="str">
        <f t="shared" si="20"/>
        <v/>
      </c>
    </row>
    <row r="71" spans="1:45">
      <c r="A71" s="294"/>
      <c r="B71" s="295"/>
      <c r="C71" s="296"/>
      <c r="D71" s="296"/>
      <c r="E71" s="296"/>
      <c r="F71" s="296"/>
      <c r="G71" s="297"/>
      <c r="H71" s="303"/>
      <c r="I71" s="298"/>
      <c r="J71" s="298"/>
      <c r="K71" s="299"/>
      <c r="L71" s="304"/>
      <c r="M71" s="300"/>
      <c r="N71" s="301"/>
      <c r="P71" s="193" t="str">
        <f>IF(R71 = "", "", COUNT(R$4:$R71))</f>
        <v/>
      </c>
      <c r="Q71" s="193" t="str">
        <f t="shared" si="11"/>
        <v/>
      </c>
      <c r="R71" s="194" t="str">
        <f t="shared" si="12"/>
        <v/>
      </c>
      <c r="S71" s="195" t="str">
        <f t="shared" si="14"/>
        <v/>
      </c>
      <c r="T71" s="196" t="str">
        <f t="shared" si="15"/>
        <v/>
      </c>
      <c r="U71" s="197" t="str">
        <f t="shared" si="16"/>
        <v/>
      </c>
      <c r="V71" s="198" t="str">
        <f t="shared" si="13"/>
        <v/>
      </c>
      <c r="W71" s="339" t="str">
        <f t="shared" si="17"/>
        <v/>
      </c>
      <c r="X71" s="341" t="str">
        <f t="shared" si="18"/>
        <v/>
      </c>
      <c r="Y71" s="277"/>
      <c r="AR71" t="str">
        <f t="shared" si="19"/>
        <v/>
      </c>
      <c r="AS71" t="str">
        <f t="shared" si="20"/>
        <v/>
      </c>
    </row>
    <row r="72" spans="1:45">
      <c r="A72" s="294"/>
      <c r="B72" s="295"/>
      <c r="C72" s="296"/>
      <c r="D72" s="296"/>
      <c r="E72" s="296"/>
      <c r="F72" s="296"/>
      <c r="G72" s="297"/>
      <c r="H72" s="303"/>
      <c r="I72" s="298"/>
      <c r="J72" s="298"/>
      <c r="K72" s="299"/>
      <c r="L72" s="304"/>
      <c r="M72" s="300"/>
      <c r="N72" s="301"/>
      <c r="P72" s="193" t="str">
        <f>IF(R72 = "", "", COUNT(R$4:$R72))</f>
        <v/>
      </c>
      <c r="Q72" s="193" t="str">
        <f t="shared" si="11"/>
        <v/>
      </c>
      <c r="R72" s="194" t="str">
        <f t="shared" si="12"/>
        <v/>
      </c>
      <c r="S72" s="195" t="str">
        <f t="shared" si="14"/>
        <v/>
      </c>
      <c r="T72" s="196" t="str">
        <f t="shared" si="15"/>
        <v/>
      </c>
      <c r="U72" s="197" t="str">
        <f t="shared" si="16"/>
        <v/>
      </c>
      <c r="V72" s="198" t="str">
        <f t="shared" si="13"/>
        <v/>
      </c>
      <c r="W72" s="339" t="str">
        <f t="shared" si="17"/>
        <v/>
      </c>
      <c r="X72" s="341" t="str">
        <f t="shared" si="18"/>
        <v/>
      </c>
      <c r="Y72" s="277"/>
      <c r="AR72" t="str">
        <f t="shared" si="19"/>
        <v/>
      </c>
      <c r="AS72" t="str">
        <f t="shared" si="20"/>
        <v/>
      </c>
    </row>
    <row r="73" spans="1:45">
      <c r="A73" s="294"/>
      <c r="B73" s="295"/>
      <c r="C73" s="296"/>
      <c r="D73" s="296"/>
      <c r="E73" s="296"/>
      <c r="F73" s="296"/>
      <c r="G73" s="297"/>
      <c r="H73" s="303"/>
      <c r="I73" s="298"/>
      <c r="J73" s="298"/>
      <c r="K73" s="299"/>
      <c r="L73" s="304"/>
      <c r="M73" s="300"/>
      <c r="N73" s="301"/>
      <c r="P73" s="193" t="str">
        <f>IF(R73 = "", "", COUNT(R$4:$R73))</f>
        <v/>
      </c>
      <c r="Q73" s="193" t="str">
        <f t="shared" si="11"/>
        <v/>
      </c>
      <c r="R73" s="194" t="str">
        <f t="shared" si="12"/>
        <v/>
      </c>
      <c r="S73" s="195" t="str">
        <f t="shared" si="14"/>
        <v/>
      </c>
      <c r="T73" s="196" t="str">
        <f t="shared" si="15"/>
        <v/>
      </c>
      <c r="U73" s="197" t="str">
        <f t="shared" si="16"/>
        <v/>
      </c>
      <c r="V73" s="198" t="str">
        <f t="shared" si="13"/>
        <v/>
      </c>
      <c r="W73" s="339" t="str">
        <f t="shared" si="17"/>
        <v/>
      </c>
      <c r="X73" s="341" t="str">
        <f t="shared" si="18"/>
        <v/>
      </c>
      <c r="Y73" s="277"/>
      <c r="AR73" t="str">
        <f t="shared" si="19"/>
        <v/>
      </c>
      <c r="AS73" t="str">
        <f t="shared" si="20"/>
        <v/>
      </c>
    </row>
    <row r="74" spans="1:45">
      <c r="A74" s="294"/>
      <c r="B74" s="295"/>
      <c r="C74" s="296"/>
      <c r="D74" s="296"/>
      <c r="E74" s="296"/>
      <c r="F74" s="296"/>
      <c r="G74" s="297"/>
      <c r="H74" s="303"/>
      <c r="I74" s="298"/>
      <c r="J74" s="298"/>
      <c r="K74" s="299"/>
      <c r="L74" s="304"/>
      <c r="M74" s="300"/>
      <c r="N74" s="301"/>
      <c r="P74" s="193" t="str">
        <f>IF(R74 = "", "", COUNT(R$4:$R74))</f>
        <v/>
      </c>
      <c r="Q74" s="193" t="str">
        <f t="shared" si="11"/>
        <v/>
      </c>
      <c r="R74" s="194" t="str">
        <f t="shared" si="12"/>
        <v/>
      </c>
      <c r="S74" s="195" t="str">
        <f t="shared" si="14"/>
        <v/>
      </c>
      <c r="T74" s="196" t="str">
        <f t="shared" si="15"/>
        <v/>
      </c>
      <c r="U74" s="197" t="str">
        <f t="shared" si="16"/>
        <v/>
      </c>
      <c r="V74" s="198" t="str">
        <f t="shared" si="13"/>
        <v/>
      </c>
      <c r="W74" s="339" t="str">
        <f t="shared" si="17"/>
        <v/>
      </c>
      <c r="X74" s="341" t="str">
        <f t="shared" si="18"/>
        <v/>
      </c>
      <c r="Y74" s="277"/>
      <c r="AR74" t="str">
        <f t="shared" si="19"/>
        <v/>
      </c>
      <c r="AS74" t="str">
        <f t="shared" si="20"/>
        <v/>
      </c>
    </row>
    <row r="75" spans="1:45">
      <c r="A75" s="294"/>
      <c r="B75" s="295"/>
      <c r="C75" s="296"/>
      <c r="D75" s="296"/>
      <c r="E75" s="296"/>
      <c r="F75" s="296"/>
      <c r="G75" s="297"/>
      <c r="H75" s="303"/>
      <c r="I75" s="298"/>
      <c r="J75" s="298"/>
      <c r="K75" s="299"/>
      <c r="L75" s="304"/>
      <c r="M75" s="300"/>
      <c r="N75" s="301"/>
      <c r="P75" s="193" t="str">
        <f>IF(R75 = "", "", COUNT(R$4:$R75))</f>
        <v/>
      </c>
      <c r="Q75" s="193" t="str">
        <f t="shared" si="11"/>
        <v/>
      </c>
      <c r="R75" s="194" t="str">
        <f t="shared" si="12"/>
        <v/>
      </c>
      <c r="S75" s="195" t="str">
        <f t="shared" si="14"/>
        <v/>
      </c>
      <c r="T75" s="196" t="str">
        <f t="shared" si="15"/>
        <v/>
      </c>
      <c r="U75" s="197" t="str">
        <f t="shared" si="16"/>
        <v/>
      </c>
      <c r="V75" s="198" t="str">
        <f t="shared" si="13"/>
        <v/>
      </c>
      <c r="W75" s="339" t="str">
        <f t="shared" si="17"/>
        <v/>
      </c>
      <c r="X75" s="341" t="str">
        <f t="shared" si="18"/>
        <v/>
      </c>
      <c r="Y75" s="277"/>
      <c r="AR75" t="str">
        <f t="shared" si="19"/>
        <v/>
      </c>
      <c r="AS75" t="str">
        <f t="shared" si="20"/>
        <v/>
      </c>
    </row>
    <row r="76" spans="1:45">
      <c r="A76" s="294"/>
      <c r="B76" s="295"/>
      <c r="C76" s="296"/>
      <c r="D76" s="296"/>
      <c r="E76" s="296"/>
      <c r="F76" s="296"/>
      <c r="G76" s="297"/>
      <c r="H76" s="303"/>
      <c r="I76" s="298"/>
      <c r="J76" s="298"/>
      <c r="K76" s="299"/>
      <c r="L76" s="304"/>
      <c r="M76" s="300"/>
      <c r="N76" s="301"/>
      <c r="P76" s="193" t="str">
        <f>IF(R76 = "", "", COUNT(R$4:$R76))</f>
        <v/>
      </c>
      <c r="Q76" s="193" t="str">
        <f t="shared" si="11"/>
        <v/>
      </c>
      <c r="R76" s="194" t="str">
        <f t="shared" si="12"/>
        <v/>
      </c>
      <c r="S76" s="195" t="str">
        <f t="shared" si="14"/>
        <v/>
      </c>
      <c r="T76" s="196" t="str">
        <f t="shared" si="15"/>
        <v/>
      </c>
      <c r="U76" s="197" t="str">
        <f t="shared" si="16"/>
        <v/>
      </c>
      <c r="V76" s="198" t="str">
        <f t="shared" si="13"/>
        <v/>
      </c>
      <c r="W76" s="339" t="str">
        <f t="shared" si="17"/>
        <v/>
      </c>
      <c r="X76" s="341" t="str">
        <f t="shared" si="18"/>
        <v/>
      </c>
      <c r="Y76" s="277"/>
      <c r="AR76" t="str">
        <f t="shared" si="19"/>
        <v/>
      </c>
      <c r="AS76" t="str">
        <f t="shared" si="20"/>
        <v/>
      </c>
    </row>
    <row r="77" spans="1:45">
      <c r="A77" s="294"/>
      <c r="B77" s="295"/>
      <c r="C77" s="296"/>
      <c r="D77" s="296"/>
      <c r="E77" s="296"/>
      <c r="F77" s="296"/>
      <c r="G77" s="297"/>
      <c r="H77" s="303"/>
      <c r="I77" s="298"/>
      <c r="J77" s="298"/>
      <c r="K77" s="299"/>
      <c r="L77" s="304"/>
      <c r="M77" s="300"/>
      <c r="N77" s="301"/>
      <c r="P77" s="193" t="str">
        <f>IF(R77 = "", "", COUNT(R$4:$R77))</f>
        <v/>
      </c>
      <c r="Q77" s="193" t="str">
        <f t="shared" si="11"/>
        <v/>
      </c>
      <c r="R77" s="194" t="str">
        <f t="shared" si="12"/>
        <v/>
      </c>
      <c r="S77" s="195" t="str">
        <f t="shared" si="14"/>
        <v/>
      </c>
      <c r="T77" s="196" t="str">
        <f t="shared" si="15"/>
        <v/>
      </c>
      <c r="U77" s="197" t="str">
        <f t="shared" si="16"/>
        <v/>
      </c>
      <c r="V77" s="198" t="str">
        <f t="shared" si="13"/>
        <v/>
      </c>
      <c r="W77" s="339" t="str">
        <f t="shared" si="17"/>
        <v/>
      </c>
      <c r="X77" s="341" t="str">
        <f t="shared" si="18"/>
        <v/>
      </c>
      <c r="Y77" s="277"/>
      <c r="AR77" t="str">
        <f t="shared" si="19"/>
        <v/>
      </c>
      <c r="AS77" t="str">
        <f t="shared" si="20"/>
        <v/>
      </c>
    </row>
    <row r="78" spans="1:45">
      <c r="A78" s="294"/>
      <c r="B78" s="295"/>
      <c r="C78" s="296"/>
      <c r="D78" s="296"/>
      <c r="E78" s="296"/>
      <c r="F78" s="296"/>
      <c r="G78" s="297"/>
      <c r="H78" s="303"/>
      <c r="I78" s="298"/>
      <c r="J78" s="298"/>
      <c r="K78" s="299"/>
      <c r="L78" s="304"/>
      <c r="M78" s="300"/>
      <c r="N78" s="301"/>
      <c r="P78" s="193" t="str">
        <f>IF(R78 = "", "", COUNT(R$4:$R78))</f>
        <v/>
      </c>
      <c r="Q78" s="193" t="str">
        <f t="shared" si="11"/>
        <v/>
      </c>
      <c r="R78" s="194" t="str">
        <f t="shared" si="12"/>
        <v/>
      </c>
      <c r="S78" s="195" t="str">
        <f t="shared" si="14"/>
        <v/>
      </c>
      <c r="T78" s="196" t="str">
        <f t="shared" si="15"/>
        <v/>
      </c>
      <c r="U78" s="197" t="str">
        <f t="shared" si="16"/>
        <v/>
      </c>
      <c r="V78" s="198" t="str">
        <f t="shared" si="13"/>
        <v/>
      </c>
      <c r="W78" s="339" t="str">
        <f t="shared" si="17"/>
        <v/>
      </c>
      <c r="X78" s="341" t="str">
        <f t="shared" si="18"/>
        <v/>
      </c>
      <c r="Y78" s="277"/>
      <c r="AR78" t="str">
        <f t="shared" si="19"/>
        <v/>
      </c>
      <c r="AS78" t="str">
        <f t="shared" si="20"/>
        <v/>
      </c>
    </row>
    <row r="79" spans="1:45">
      <c r="A79" s="294"/>
      <c r="B79" s="295"/>
      <c r="C79" s="296"/>
      <c r="D79" s="296"/>
      <c r="E79" s="296"/>
      <c r="F79" s="296"/>
      <c r="G79" s="297"/>
      <c r="H79" s="303"/>
      <c r="I79" s="298"/>
      <c r="J79" s="298"/>
      <c r="K79" s="299"/>
      <c r="L79" s="304"/>
      <c r="M79" s="300"/>
      <c r="N79" s="301"/>
      <c r="P79" s="193" t="str">
        <f>IF(R79 = "", "", COUNT(R$4:$R79))</f>
        <v/>
      </c>
      <c r="Q79" s="193" t="str">
        <f t="shared" si="11"/>
        <v/>
      </c>
      <c r="R79" s="194" t="str">
        <f t="shared" si="12"/>
        <v/>
      </c>
      <c r="S79" s="195" t="str">
        <f t="shared" si="14"/>
        <v/>
      </c>
      <c r="T79" s="196" t="str">
        <f t="shared" si="15"/>
        <v/>
      </c>
      <c r="U79" s="197" t="str">
        <f t="shared" si="16"/>
        <v/>
      </c>
      <c r="V79" s="198" t="str">
        <f t="shared" si="13"/>
        <v/>
      </c>
      <c r="W79" s="339" t="str">
        <f t="shared" si="17"/>
        <v/>
      </c>
      <c r="X79" s="341" t="str">
        <f t="shared" si="18"/>
        <v/>
      </c>
      <c r="Y79" s="277"/>
      <c r="AR79" t="str">
        <f t="shared" si="19"/>
        <v/>
      </c>
      <c r="AS79" t="str">
        <f t="shared" si="20"/>
        <v/>
      </c>
    </row>
    <row r="80" spans="1:45">
      <c r="A80" s="294"/>
      <c r="B80" s="295"/>
      <c r="C80" s="296"/>
      <c r="D80" s="296"/>
      <c r="E80" s="296"/>
      <c r="F80" s="296"/>
      <c r="G80" s="297"/>
      <c r="H80" s="303"/>
      <c r="I80" s="298"/>
      <c r="J80" s="298"/>
      <c r="K80" s="299"/>
      <c r="L80" s="304"/>
      <c r="M80" s="300"/>
      <c r="N80" s="301"/>
      <c r="P80" s="193" t="str">
        <f>IF(R80 = "", "", COUNT(R$4:$R80))</f>
        <v/>
      </c>
      <c r="Q80" s="193" t="str">
        <f t="shared" si="11"/>
        <v/>
      </c>
      <c r="R80" s="194" t="str">
        <f t="shared" si="12"/>
        <v/>
      </c>
      <c r="S80" s="195" t="str">
        <f t="shared" si="14"/>
        <v/>
      </c>
      <c r="T80" s="196" t="str">
        <f t="shared" si="15"/>
        <v/>
      </c>
      <c r="U80" s="197" t="str">
        <f t="shared" si="16"/>
        <v/>
      </c>
      <c r="V80" s="198" t="str">
        <f t="shared" si="13"/>
        <v/>
      </c>
      <c r="W80" s="339" t="str">
        <f t="shared" si="17"/>
        <v/>
      </c>
      <c r="X80" s="341" t="str">
        <f t="shared" si="18"/>
        <v/>
      </c>
      <c r="Y80" s="277"/>
      <c r="AR80" t="str">
        <f t="shared" si="19"/>
        <v/>
      </c>
      <c r="AS80" t="str">
        <f t="shared" si="20"/>
        <v/>
      </c>
    </row>
    <row r="81" spans="1:45">
      <c r="A81" s="294"/>
      <c r="B81" s="295"/>
      <c r="C81" s="296"/>
      <c r="D81" s="296"/>
      <c r="E81" s="296"/>
      <c r="F81" s="296"/>
      <c r="G81" s="297"/>
      <c r="H81" s="303"/>
      <c r="I81" s="298"/>
      <c r="J81" s="298"/>
      <c r="K81" s="299"/>
      <c r="L81" s="304"/>
      <c r="M81" s="300"/>
      <c r="N81" s="301"/>
      <c r="P81" s="193" t="str">
        <f>IF(R81 = "", "", COUNT(R$4:$R81))</f>
        <v/>
      </c>
      <c r="Q81" s="193" t="str">
        <f t="shared" si="11"/>
        <v/>
      </c>
      <c r="R81" s="194" t="str">
        <f t="shared" si="12"/>
        <v/>
      </c>
      <c r="S81" s="195" t="str">
        <f t="shared" si="14"/>
        <v/>
      </c>
      <c r="T81" s="196" t="str">
        <f t="shared" si="15"/>
        <v/>
      </c>
      <c r="U81" s="197" t="str">
        <f t="shared" si="16"/>
        <v/>
      </c>
      <c r="V81" s="198" t="str">
        <f t="shared" si="13"/>
        <v/>
      </c>
      <c r="W81" s="339" t="str">
        <f t="shared" si="17"/>
        <v/>
      </c>
      <c r="X81" s="341" t="str">
        <f t="shared" si="18"/>
        <v/>
      </c>
      <c r="Y81" s="277"/>
      <c r="AR81" t="str">
        <f t="shared" si="19"/>
        <v/>
      </c>
      <c r="AS81" t="str">
        <f t="shared" si="20"/>
        <v/>
      </c>
    </row>
    <row r="82" spans="1:45">
      <c r="A82" s="294"/>
      <c r="B82" s="295"/>
      <c r="C82" s="296"/>
      <c r="D82" s="296"/>
      <c r="E82" s="296"/>
      <c r="F82" s="296"/>
      <c r="G82" s="297"/>
      <c r="H82" s="303"/>
      <c r="I82" s="298"/>
      <c r="J82" s="298"/>
      <c r="K82" s="299"/>
      <c r="L82" s="304"/>
      <c r="M82" s="300"/>
      <c r="N82" s="301"/>
      <c r="P82" s="193" t="str">
        <f>IF(R82 = "", "", COUNT(R$4:$R82))</f>
        <v/>
      </c>
      <c r="Q82" s="193" t="str">
        <f t="shared" si="11"/>
        <v/>
      </c>
      <c r="R82" s="194" t="str">
        <f t="shared" si="12"/>
        <v/>
      </c>
      <c r="S82" s="195" t="str">
        <f t="shared" si="14"/>
        <v/>
      </c>
      <c r="T82" s="196" t="str">
        <f t="shared" si="15"/>
        <v/>
      </c>
      <c r="U82" s="197" t="str">
        <f t="shared" si="16"/>
        <v/>
      </c>
      <c r="V82" s="198" t="str">
        <f t="shared" si="13"/>
        <v/>
      </c>
      <c r="W82" s="339" t="str">
        <f t="shared" si="17"/>
        <v/>
      </c>
      <c r="X82" s="341" t="str">
        <f t="shared" si="18"/>
        <v/>
      </c>
      <c r="Y82" s="277"/>
      <c r="AR82" t="str">
        <f t="shared" si="19"/>
        <v/>
      </c>
      <c r="AS82" t="str">
        <f t="shared" si="20"/>
        <v/>
      </c>
    </row>
    <row r="83" spans="1:45">
      <c r="A83" s="294"/>
      <c r="B83" s="295"/>
      <c r="C83" s="296"/>
      <c r="D83" s="296"/>
      <c r="E83" s="296"/>
      <c r="F83" s="296"/>
      <c r="G83" s="297"/>
      <c r="H83" s="303"/>
      <c r="I83" s="298"/>
      <c r="J83" s="298"/>
      <c r="K83" s="299"/>
      <c r="L83" s="304"/>
      <c r="M83" s="300"/>
      <c r="N83" s="301"/>
      <c r="P83" s="193" t="str">
        <f>IF(R83 = "", "", COUNT(R$4:$R83))</f>
        <v/>
      </c>
      <c r="Q83" s="193" t="str">
        <f t="shared" si="11"/>
        <v/>
      </c>
      <c r="R83" s="194" t="str">
        <f t="shared" si="12"/>
        <v/>
      </c>
      <c r="S83" s="195" t="str">
        <f t="shared" si="14"/>
        <v/>
      </c>
      <c r="T83" s="196" t="str">
        <f t="shared" si="15"/>
        <v/>
      </c>
      <c r="U83" s="197" t="str">
        <f t="shared" si="16"/>
        <v/>
      </c>
      <c r="V83" s="198" t="str">
        <f t="shared" si="13"/>
        <v/>
      </c>
      <c r="W83" s="339" t="str">
        <f t="shared" si="17"/>
        <v/>
      </c>
      <c r="X83" s="341" t="str">
        <f t="shared" si="18"/>
        <v/>
      </c>
      <c r="Y83" s="277"/>
      <c r="AR83" t="str">
        <f t="shared" si="19"/>
        <v/>
      </c>
      <c r="AS83" t="str">
        <f t="shared" si="20"/>
        <v/>
      </c>
    </row>
    <row r="84" spans="1:45">
      <c r="A84" s="294"/>
      <c r="B84" s="295"/>
      <c r="C84" s="296"/>
      <c r="D84" s="296"/>
      <c r="E84" s="296"/>
      <c r="F84" s="296"/>
      <c r="G84" s="297"/>
      <c r="H84" s="303"/>
      <c r="I84" s="298"/>
      <c r="J84" s="298"/>
      <c r="K84" s="299"/>
      <c r="L84" s="304"/>
      <c r="M84" s="300"/>
      <c r="N84" s="301"/>
      <c r="P84" s="193" t="str">
        <f>IF(R84 = "", "", COUNT(R$4:$R84))</f>
        <v/>
      </c>
      <c r="Q84" s="193" t="str">
        <f t="shared" si="11"/>
        <v/>
      </c>
      <c r="R84" s="194" t="str">
        <f t="shared" si="12"/>
        <v/>
      </c>
      <c r="S84" s="195" t="str">
        <f t="shared" si="14"/>
        <v/>
      </c>
      <c r="T84" s="196" t="str">
        <f t="shared" si="15"/>
        <v/>
      </c>
      <c r="U84" s="197" t="str">
        <f t="shared" si="16"/>
        <v/>
      </c>
      <c r="V84" s="198" t="str">
        <f t="shared" si="13"/>
        <v/>
      </c>
      <c r="W84" s="339" t="str">
        <f t="shared" si="17"/>
        <v/>
      </c>
      <c r="X84" s="341" t="str">
        <f t="shared" si="18"/>
        <v/>
      </c>
      <c r="Y84" s="277"/>
      <c r="AR84" t="str">
        <f t="shared" si="19"/>
        <v/>
      </c>
      <c r="AS84" t="str">
        <f t="shared" si="20"/>
        <v/>
      </c>
    </row>
    <row r="85" spans="1:45">
      <c r="A85" s="294"/>
      <c r="B85" s="295"/>
      <c r="C85" s="296"/>
      <c r="D85" s="296"/>
      <c r="E85" s="296"/>
      <c r="F85" s="296"/>
      <c r="G85" s="297"/>
      <c r="H85" s="303"/>
      <c r="I85" s="298"/>
      <c r="J85" s="298"/>
      <c r="K85" s="299"/>
      <c r="L85" s="304"/>
      <c r="M85" s="300"/>
      <c r="N85" s="301"/>
      <c r="P85" s="193" t="str">
        <f>IF(R85 = "", "", COUNT(R$4:$R85))</f>
        <v/>
      </c>
      <c r="Q85" s="193" t="str">
        <f t="shared" si="11"/>
        <v/>
      </c>
      <c r="R85" s="194" t="str">
        <f t="shared" si="12"/>
        <v/>
      </c>
      <c r="S85" s="195" t="str">
        <f t="shared" si="14"/>
        <v/>
      </c>
      <c r="T85" s="196" t="str">
        <f t="shared" si="15"/>
        <v/>
      </c>
      <c r="U85" s="197" t="str">
        <f t="shared" si="16"/>
        <v/>
      </c>
      <c r="V85" s="198" t="str">
        <f t="shared" si="13"/>
        <v/>
      </c>
      <c r="W85" s="339" t="str">
        <f t="shared" si="17"/>
        <v/>
      </c>
      <c r="X85" s="341" t="str">
        <f t="shared" si="18"/>
        <v/>
      </c>
      <c r="Y85" s="277"/>
      <c r="AR85" t="str">
        <f t="shared" si="19"/>
        <v/>
      </c>
      <c r="AS85" t="str">
        <f t="shared" si="20"/>
        <v/>
      </c>
    </row>
    <row r="86" spans="1:45">
      <c r="A86" s="294"/>
      <c r="B86" s="295"/>
      <c r="C86" s="296"/>
      <c r="D86" s="296"/>
      <c r="E86" s="296"/>
      <c r="F86" s="296"/>
      <c r="G86" s="297"/>
      <c r="H86" s="303"/>
      <c r="I86" s="298"/>
      <c r="J86" s="298"/>
      <c r="K86" s="299"/>
      <c r="L86" s="304"/>
      <c r="M86" s="300"/>
      <c r="N86" s="301"/>
      <c r="P86" s="193" t="str">
        <f>IF(R86 = "", "", COUNT(R$4:$R86))</f>
        <v/>
      </c>
      <c r="Q86" s="193" t="str">
        <f t="shared" si="11"/>
        <v/>
      </c>
      <c r="R86" s="194" t="str">
        <f t="shared" si="12"/>
        <v/>
      </c>
      <c r="S86" s="195" t="str">
        <f t="shared" si="14"/>
        <v/>
      </c>
      <c r="T86" s="196" t="str">
        <f t="shared" si="15"/>
        <v/>
      </c>
      <c r="U86" s="197" t="str">
        <f t="shared" si="16"/>
        <v/>
      </c>
      <c r="V86" s="198" t="str">
        <f t="shared" si="13"/>
        <v/>
      </c>
      <c r="W86" s="339" t="str">
        <f t="shared" si="17"/>
        <v/>
      </c>
      <c r="X86" s="341" t="str">
        <f t="shared" si="18"/>
        <v/>
      </c>
      <c r="Y86" s="277"/>
      <c r="AR86" t="str">
        <f t="shared" si="19"/>
        <v/>
      </c>
      <c r="AS86" t="str">
        <f t="shared" si="20"/>
        <v/>
      </c>
    </row>
    <row r="87" spans="1:45">
      <c r="A87" s="294"/>
      <c r="B87" s="295"/>
      <c r="C87" s="296"/>
      <c r="D87" s="296"/>
      <c r="E87" s="296"/>
      <c r="F87" s="296"/>
      <c r="G87" s="297"/>
      <c r="H87" s="303"/>
      <c r="I87" s="298"/>
      <c r="J87" s="298"/>
      <c r="K87" s="299"/>
      <c r="L87" s="304"/>
      <c r="M87" s="300"/>
      <c r="N87" s="301"/>
      <c r="P87" s="193" t="str">
        <f>IF(R87 = "", "", COUNT(R$4:$R87))</f>
        <v/>
      </c>
      <c r="Q87" s="193" t="str">
        <f t="shared" si="11"/>
        <v/>
      </c>
      <c r="R87" s="194" t="str">
        <f t="shared" si="12"/>
        <v/>
      </c>
      <c r="S87" s="195" t="str">
        <f t="shared" si="14"/>
        <v/>
      </c>
      <c r="T87" s="196" t="str">
        <f t="shared" si="15"/>
        <v/>
      </c>
      <c r="U87" s="197" t="str">
        <f t="shared" si="16"/>
        <v/>
      </c>
      <c r="V87" s="198" t="str">
        <f t="shared" si="13"/>
        <v/>
      </c>
      <c r="W87" s="339" t="str">
        <f t="shared" si="17"/>
        <v/>
      </c>
      <c r="X87" s="341" t="str">
        <f t="shared" si="18"/>
        <v/>
      </c>
      <c r="Y87" s="277"/>
      <c r="AR87" t="str">
        <f t="shared" si="19"/>
        <v/>
      </c>
      <c r="AS87" t="str">
        <f t="shared" si="20"/>
        <v/>
      </c>
    </row>
    <row r="88" spans="1:45">
      <c r="A88" s="294"/>
      <c r="B88" s="295"/>
      <c r="C88" s="296"/>
      <c r="D88" s="296"/>
      <c r="E88" s="296"/>
      <c r="F88" s="296"/>
      <c r="G88" s="297"/>
      <c r="H88" s="303"/>
      <c r="I88" s="298"/>
      <c r="J88" s="298"/>
      <c r="K88" s="299"/>
      <c r="L88" s="304"/>
      <c r="M88" s="300"/>
      <c r="N88" s="301"/>
      <c r="P88" s="193" t="str">
        <f>IF(R88 = "", "", COUNT(R$4:$R88))</f>
        <v/>
      </c>
      <c r="Q88" s="193" t="str">
        <f t="shared" si="11"/>
        <v/>
      </c>
      <c r="R88" s="194" t="str">
        <f t="shared" si="12"/>
        <v/>
      </c>
      <c r="S88" s="195" t="str">
        <f t="shared" si="14"/>
        <v/>
      </c>
      <c r="T88" s="196" t="str">
        <f t="shared" si="15"/>
        <v/>
      </c>
      <c r="U88" s="197" t="str">
        <f t="shared" si="16"/>
        <v/>
      </c>
      <c r="V88" s="198" t="str">
        <f t="shared" si="13"/>
        <v/>
      </c>
      <c r="W88" s="339" t="str">
        <f t="shared" si="17"/>
        <v/>
      </c>
      <c r="X88" s="341" t="str">
        <f t="shared" si="18"/>
        <v/>
      </c>
      <c r="Y88" s="277"/>
      <c r="AR88" t="str">
        <f t="shared" si="19"/>
        <v/>
      </c>
      <c r="AS88" t="str">
        <f t="shared" si="20"/>
        <v/>
      </c>
    </row>
    <row r="89" spans="1:45">
      <c r="A89" s="294"/>
      <c r="B89" s="295"/>
      <c r="C89" s="296"/>
      <c r="D89" s="296"/>
      <c r="E89" s="296"/>
      <c r="F89" s="296"/>
      <c r="G89" s="297"/>
      <c r="H89" s="303"/>
      <c r="I89" s="298"/>
      <c r="J89" s="298"/>
      <c r="K89" s="299"/>
      <c r="L89" s="304"/>
      <c r="M89" s="300"/>
      <c r="N89" s="301"/>
      <c r="P89" s="193" t="str">
        <f>IF(R89 = "", "", COUNT(R$4:$R89))</f>
        <v/>
      </c>
      <c r="Q89" s="193" t="str">
        <f t="shared" si="11"/>
        <v/>
      </c>
      <c r="R89" s="194" t="str">
        <f t="shared" si="12"/>
        <v/>
      </c>
      <c r="S89" s="195" t="str">
        <f t="shared" si="14"/>
        <v/>
      </c>
      <c r="T89" s="196" t="str">
        <f t="shared" si="15"/>
        <v/>
      </c>
      <c r="U89" s="197" t="str">
        <f t="shared" si="16"/>
        <v/>
      </c>
      <c r="V89" s="198" t="str">
        <f t="shared" si="13"/>
        <v/>
      </c>
      <c r="W89" s="339" t="str">
        <f t="shared" si="17"/>
        <v/>
      </c>
      <c r="X89" s="341" t="str">
        <f t="shared" si="18"/>
        <v/>
      </c>
      <c r="Y89" s="277"/>
      <c r="AR89" t="str">
        <f t="shared" si="19"/>
        <v/>
      </c>
      <c r="AS89" t="str">
        <f t="shared" si="20"/>
        <v/>
      </c>
    </row>
    <row r="90" spans="1:45">
      <c r="A90" s="294"/>
      <c r="B90" s="295"/>
      <c r="C90" s="296"/>
      <c r="D90" s="296"/>
      <c r="E90" s="296"/>
      <c r="F90" s="296"/>
      <c r="G90" s="297"/>
      <c r="H90" s="303"/>
      <c r="I90" s="298"/>
      <c r="J90" s="298"/>
      <c r="K90" s="299"/>
      <c r="L90" s="304"/>
      <c r="M90" s="300"/>
      <c r="N90" s="301"/>
      <c r="P90" s="193" t="str">
        <f>IF(R90 = "", "", COUNT(R$4:$R90))</f>
        <v/>
      </c>
      <c r="Q90" s="193" t="str">
        <f t="shared" si="11"/>
        <v/>
      </c>
      <c r="R90" s="194" t="str">
        <f t="shared" si="12"/>
        <v/>
      </c>
      <c r="S90" s="195" t="str">
        <f t="shared" si="14"/>
        <v/>
      </c>
      <c r="T90" s="196" t="str">
        <f t="shared" si="15"/>
        <v/>
      </c>
      <c r="U90" s="197" t="str">
        <f t="shared" si="16"/>
        <v/>
      </c>
      <c r="V90" s="198" t="str">
        <f t="shared" si="13"/>
        <v/>
      </c>
      <c r="W90" s="339" t="str">
        <f t="shared" si="17"/>
        <v/>
      </c>
      <c r="X90" s="341" t="str">
        <f t="shared" si="18"/>
        <v/>
      </c>
      <c r="Y90" s="277"/>
      <c r="AR90" t="str">
        <f t="shared" si="19"/>
        <v/>
      </c>
      <c r="AS90" t="str">
        <f t="shared" si="20"/>
        <v/>
      </c>
    </row>
    <row r="91" spans="1:45">
      <c r="A91" s="294"/>
      <c r="B91" s="295"/>
      <c r="C91" s="296"/>
      <c r="D91" s="296"/>
      <c r="E91" s="296"/>
      <c r="F91" s="296"/>
      <c r="G91" s="297"/>
      <c r="H91" s="303"/>
      <c r="I91" s="298"/>
      <c r="J91" s="298"/>
      <c r="K91" s="299"/>
      <c r="L91" s="304"/>
      <c r="M91" s="300"/>
      <c r="N91" s="301"/>
      <c r="P91" s="193" t="str">
        <f>IF(R91 = "", "", COUNT(R$4:$R91))</f>
        <v/>
      </c>
      <c r="Q91" s="193" t="str">
        <f t="shared" si="11"/>
        <v/>
      </c>
      <c r="R91" s="194" t="str">
        <f t="shared" si="12"/>
        <v/>
      </c>
      <c r="S91" s="195" t="str">
        <f t="shared" si="14"/>
        <v/>
      </c>
      <c r="T91" s="196" t="str">
        <f t="shared" si="15"/>
        <v/>
      </c>
      <c r="U91" s="197" t="str">
        <f t="shared" si="16"/>
        <v/>
      </c>
      <c r="V91" s="198" t="str">
        <f t="shared" si="13"/>
        <v/>
      </c>
      <c r="W91" s="339" t="str">
        <f t="shared" si="17"/>
        <v/>
      </c>
      <c r="X91" s="341" t="str">
        <f t="shared" si="18"/>
        <v/>
      </c>
      <c r="Y91" s="277"/>
      <c r="AR91" t="str">
        <f t="shared" si="19"/>
        <v/>
      </c>
      <c r="AS91" t="str">
        <f t="shared" si="20"/>
        <v/>
      </c>
    </row>
    <row r="92" spans="1:45">
      <c r="A92" s="294"/>
      <c r="B92" s="295"/>
      <c r="C92" s="296"/>
      <c r="D92" s="296"/>
      <c r="E92" s="296"/>
      <c r="F92" s="296"/>
      <c r="G92" s="297"/>
      <c r="H92" s="303"/>
      <c r="I92" s="298"/>
      <c r="J92" s="298"/>
      <c r="K92" s="299"/>
      <c r="L92" s="304"/>
      <c r="M92" s="300"/>
      <c r="N92" s="301"/>
      <c r="P92" s="193" t="str">
        <f>IF(R92 = "", "", COUNT(R$4:$R92))</f>
        <v/>
      </c>
      <c r="Q92" s="193" t="str">
        <f t="shared" si="11"/>
        <v/>
      </c>
      <c r="R92" s="194" t="str">
        <f t="shared" si="12"/>
        <v/>
      </c>
      <c r="S92" s="195" t="str">
        <f t="shared" si="14"/>
        <v/>
      </c>
      <c r="T92" s="196" t="str">
        <f t="shared" si="15"/>
        <v/>
      </c>
      <c r="U92" s="197" t="str">
        <f t="shared" si="16"/>
        <v/>
      </c>
      <c r="V92" s="198" t="str">
        <f t="shared" si="13"/>
        <v/>
      </c>
      <c r="W92" s="339" t="str">
        <f t="shared" si="17"/>
        <v/>
      </c>
      <c r="X92" s="341" t="str">
        <f t="shared" si="18"/>
        <v/>
      </c>
      <c r="Y92" s="277"/>
      <c r="AR92" t="str">
        <f t="shared" si="19"/>
        <v/>
      </c>
      <c r="AS92" t="str">
        <f t="shared" si="20"/>
        <v/>
      </c>
    </row>
    <row r="93" spans="1:45">
      <c r="A93" s="294"/>
      <c r="B93" s="295"/>
      <c r="C93" s="296"/>
      <c r="D93" s="296"/>
      <c r="E93" s="296"/>
      <c r="F93" s="296"/>
      <c r="G93" s="297"/>
      <c r="H93" s="303"/>
      <c r="I93" s="298"/>
      <c r="J93" s="298"/>
      <c r="K93" s="299"/>
      <c r="L93" s="304"/>
      <c r="M93" s="300"/>
      <c r="N93" s="301"/>
      <c r="P93" s="193" t="str">
        <f>IF(R93 = "", "", COUNT(R$4:$R93))</f>
        <v/>
      </c>
      <c r="Q93" s="193" t="str">
        <f t="shared" si="11"/>
        <v/>
      </c>
      <c r="R93" s="194" t="str">
        <f t="shared" si="12"/>
        <v/>
      </c>
      <c r="S93" s="195" t="str">
        <f t="shared" si="14"/>
        <v/>
      </c>
      <c r="T93" s="196" t="str">
        <f t="shared" si="15"/>
        <v/>
      </c>
      <c r="U93" s="197" t="str">
        <f t="shared" si="16"/>
        <v/>
      </c>
      <c r="V93" s="198" t="str">
        <f t="shared" si="13"/>
        <v/>
      </c>
      <c r="W93" s="339" t="str">
        <f t="shared" si="17"/>
        <v/>
      </c>
      <c r="X93" s="341" t="str">
        <f t="shared" si="18"/>
        <v/>
      </c>
      <c r="Y93" s="277"/>
      <c r="AR93" t="str">
        <f t="shared" si="19"/>
        <v/>
      </c>
      <c r="AS93" t="str">
        <f t="shared" si="20"/>
        <v/>
      </c>
    </row>
    <row r="94" spans="1:45">
      <c r="A94" s="294"/>
      <c r="B94" s="295"/>
      <c r="C94" s="296"/>
      <c r="D94" s="296"/>
      <c r="E94" s="296"/>
      <c r="F94" s="296"/>
      <c r="G94" s="297"/>
      <c r="H94" s="303"/>
      <c r="I94" s="298"/>
      <c r="J94" s="298"/>
      <c r="K94" s="299"/>
      <c r="L94" s="304"/>
      <c r="M94" s="300"/>
      <c r="N94" s="301"/>
      <c r="P94" s="193" t="str">
        <f>IF(R94 = "", "", COUNT(R$4:$R94))</f>
        <v/>
      </c>
      <c r="Q94" s="193" t="str">
        <f t="shared" si="11"/>
        <v/>
      </c>
      <c r="R94" s="194" t="str">
        <f t="shared" si="12"/>
        <v/>
      </c>
      <c r="S94" s="195" t="str">
        <f t="shared" si="14"/>
        <v/>
      </c>
      <c r="T94" s="196" t="str">
        <f t="shared" si="15"/>
        <v/>
      </c>
      <c r="U94" s="197" t="str">
        <f t="shared" si="16"/>
        <v/>
      </c>
      <c r="V94" s="198" t="str">
        <f t="shared" si="13"/>
        <v/>
      </c>
      <c r="W94" s="339" t="str">
        <f t="shared" si="17"/>
        <v/>
      </c>
      <c r="X94" s="341" t="str">
        <f t="shared" si="18"/>
        <v/>
      </c>
      <c r="Y94" s="277"/>
      <c r="AR94" t="str">
        <f t="shared" si="19"/>
        <v/>
      </c>
      <c r="AS94" t="str">
        <f t="shared" si="20"/>
        <v/>
      </c>
    </row>
    <row r="95" spans="1:45">
      <c r="A95" s="294"/>
      <c r="B95" s="295"/>
      <c r="C95" s="296"/>
      <c r="D95" s="296"/>
      <c r="E95" s="296"/>
      <c r="F95" s="296"/>
      <c r="G95" s="297"/>
      <c r="H95" s="303"/>
      <c r="I95" s="298"/>
      <c r="J95" s="298"/>
      <c r="K95" s="299"/>
      <c r="L95" s="304"/>
      <c r="M95" s="300"/>
      <c r="N95" s="301"/>
      <c r="P95" s="193" t="str">
        <f>IF(R95 = "", "", COUNT(R$4:$R95))</f>
        <v/>
      </c>
      <c r="Q95" s="193" t="str">
        <f t="shared" si="11"/>
        <v/>
      </c>
      <c r="R95" s="194" t="str">
        <f t="shared" si="12"/>
        <v/>
      </c>
      <c r="S95" s="195" t="str">
        <f t="shared" si="14"/>
        <v/>
      </c>
      <c r="T95" s="196" t="str">
        <f t="shared" si="15"/>
        <v/>
      </c>
      <c r="U95" s="197" t="str">
        <f t="shared" si="16"/>
        <v/>
      </c>
      <c r="V95" s="198" t="str">
        <f t="shared" si="13"/>
        <v/>
      </c>
      <c r="W95" s="339" t="str">
        <f t="shared" si="17"/>
        <v/>
      </c>
      <c r="X95" s="341" t="str">
        <f t="shared" si="18"/>
        <v/>
      </c>
      <c r="Y95" s="277"/>
      <c r="AR95" t="str">
        <f t="shared" si="19"/>
        <v/>
      </c>
      <c r="AS95" t="str">
        <f t="shared" si="20"/>
        <v/>
      </c>
    </row>
    <row r="96" spans="1:45">
      <c r="A96" s="294"/>
      <c r="B96" s="295"/>
      <c r="C96" s="296"/>
      <c r="D96" s="296"/>
      <c r="E96" s="296"/>
      <c r="F96" s="296"/>
      <c r="G96" s="297"/>
      <c r="H96" s="303"/>
      <c r="I96" s="298"/>
      <c r="J96" s="298"/>
      <c r="K96" s="299"/>
      <c r="L96" s="304"/>
      <c r="M96" s="300"/>
      <c r="N96" s="301"/>
      <c r="P96" s="193" t="str">
        <f>IF(R96 = "", "", COUNT(R$4:$R96))</f>
        <v/>
      </c>
      <c r="Q96" s="193" t="str">
        <f t="shared" si="11"/>
        <v/>
      </c>
      <c r="R96" s="194" t="str">
        <f t="shared" si="12"/>
        <v/>
      </c>
      <c r="S96" s="195" t="str">
        <f t="shared" si="14"/>
        <v/>
      </c>
      <c r="T96" s="196" t="str">
        <f t="shared" si="15"/>
        <v/>
      </c>
      <c r="U96" s="197" t="str">
        <f t="shared" si="16"/>
        <v/>
      </c>
      <c r="V96" s="198" t="str">
        <f t="shared" si="13"/>
        <v/>
      </c>
      <c r="W96" s="339" t="str">
        <f t="shared" si="17"/>
        <v/>
      </c>
      <c r="X96" s="341" t="str">
        <f t="shared" si="18"/>
        <v/>
      </c>
      <c r="Y96" s="277"/>
      <c r="AR96" t="str">
        <f t="shared" si="19"/>
        <v/>
      </c>
      <c r="AS96" t="str">
        <f t="shared" si="20"/>
        <v/>
      </c>
    </row>
    <row r="97" spans="1:45">
      <c r="A97" s="294"/>
      <c r="B97" s="295"/>
      <c r="C97" s="296"/>
      <c r="D97" s="296"/>
      <c r="E97" s="296"/>
      <c r="F97" s="296"/>
      <c r="G97" s="297"/>
      <c r="H97" s="303"/>
      <c r="I97" s="298"/>
      <c r="J97" s="298"/>
      <c r="K97" s="299"/>
      <c r="L97" s="304"/>
      <c r="M97" s="300"/>
      <c r="N97" s="301"/>
      <c r="P97" s="193" t="str">
        <f>IF(R97 = "", "", COUNT(R$4:$R97))</f>
        <v/>
      </c>
      <c r="Q97" s="193" t="str">
        <f t="shared" si="11"/>
        <v/>
      </c>
      <c r="R97" s="194" t="str">
        <f t="shared" si="12"/>
        <v/>
      </c>
      <c r="S97" s="195" t="str">
        <f t="shared" si="14"/>
        <v/>
      </c>
      <c r="T97" s="196" t="str">
        <f t="shared" si="15"/>
        <v/>
      </c>
      <c r="U97" s="197" t="str">
        <f t="shared" si="16"/>
        <v/>
      </c>
      <c r="V97" s="198" t="str">
        <f t="shared" si="13"/>
        <v/>
      </c>
      <c r="W97" s="339" t="str">
        <f t="shared" si="17"/>
        <v/>
      </c>
      <c r="X97" s="341" t="str">
        <f t="shared" si="18"/>
        <v/>
      </c>
      <c r="Y97" s="277"/>
      <c r="AR97" t="str">
        <f t="shared" si="19"/>
        <v/>
      </c>
      <c r="AS97" t="str">
        <f t="shared" si="20"/>
        <v/>
      </c>
    </row>
    <row r="98" spans="1:45">
      <c r="A98" s="294"/>
      <c r="B98" s="295"/>
      <c r="C98" s="296"/>
      <c r="D98" s="296"/>
      <c r="E98" s="296"/>
      <c r="F98" s="296"/>
      <c r="G98" s="297"/>
      <c r="H98" s="303"/>
      <c r="I98" s="298"/>
      <c r="J98" s="298"/>
      <c r="K98" s="299"/>
      <c r="L98" s="304"/>
      <c r="M98" s="300"/>
      <c r="N98" s="301"/>
      <c r="P98" s="193" t="str">
        <f>IF(R98 = "", "", COUNT(R$4:$R98))</f>
        <v/>
      </c>
      <c r="Q98" s="193" t="str">
        <f t="shared" si="11"/>
        <v/>
      </c>
      <c r="R98" s="194" t="str">
        <f t="shared" si="12"/>
        <v/>
      </c>
      <c r="S98" s="195" t="str">
        <f t="shared" si="14"/>
        <v/>
      </c>
      <c r="T98" s="196" t="str">
        <f t="shared" si="15"/>
        <v/>
      </c>
      <c r="U98" s="197" t="str">
        <f t="shared" si="16"/>
        <v/>
      </c>
      <c r="V98" s="198" t="str">
        <f t="shared" si="13"/>
        <v/>
      </c>
      <c r="W98" s="339" t="str">
        <f t="shared" si="17"/>
        <v/>
      </c>
      <c r="X98" s="341" t="str">
        <f t="shared" si="18"/>
        <v/>
      </c>
      <c r="Y98" s="277"/>
      <c r="AR98" t="str">
        <f t="shared" si="19"/>
        <v/>
      </c>
      <c r="AS98" t="str">
        <f t="shared" si="20"/>
        <v/>
      </c>
    </row>
    <row r="99" spans="1:45">
      <c r="A99" s="294"/>
      <c r="B99" s="295"/>
      <c r="C99" s="296"/>
      <c r="D99" s="296"/>
      <c r="E99" s="296"/>
      <c r="F99" s="296"/>
      <c r="G99" s="297"/>
      <c r="H99" s="303"/>
      <c r="I99" s="298"/>
      <c r="J99" s="298"/>
      <c r="K99" s="299"/>
      <c r="L99" s="304"/>
      <c r="M99" s="300"/>
      <c r="N99" s="301"/>
      <c r="P99" s="193" t="str">
        <f>IF(R99 = "", "", COUNT(R$4:$R99))</f>
        <v/>
      </c>
      <c r="Q99" s="193" t="str">
        <f t="shared" si="11"/>
        <v/>
      </c>
      <c r="R99" s="194" t="str">
        <f t="shared" si="12"/>
        <v/>
      </c>
      <c r="S99" s="195" t="str">
        <f t="shared" si="14"/>
        <v/>
      </c>
      <c r="T99" s="196" t="str">
        <f t="shared" si="15"/>
        <v/>
      </c>
      <c r="U99" s="197" t="str">
        <f t="shared" si="16"/>
        <v/>
      </c>
      <c r="V99" s="198" t="str">
        <f t="shared" si="13"/>
        <v/>
      </c>
      <c r="W99" s="339" t="str">
        <f t="shared" si="17"/>
        <v/>
      </c>
      <c r="X99" s="341" t="str">
        <f t="shared" si="18"/>
        <v/>
      </c>
      <c r="Y99" s="277"/>
      <c r="AR99" t="str">
        <f t="shared" si="19"/>
        <v/>
      </c>
      <c r="AS99" t="str">
        <f t="shared" si="20"/>
        <v/>
      </c>
    </row>
    <row r="100" spans="1:45">
      <c r="A100" s="294"/>
      <c r="B100" s="295"/>
      <c r="C100" s="296"/>
      <c r="D100" s="296"/>
      <c r="E100" s="296"/>
      <c r="F100" s="296"/>
      <c r="G100" s="297"/>
      <c r="H100" s="303"/>
      <c r="I100" s="298"/>
      <c r="J100" s="298"/>
      <c r="K100" s="299"/>
      <c r="L100" s="304"/>
      <c r="M100" s="300"/>
      <c r="N100" s="301"/>
      <c r="P100" s="193" t="str">
        <f>IF(R100 = "", "", COUNT(R$4:$R100))</f>
        <v/>
      </c>
      <c r="Q100" s="193" t="str">
        <f t="shared" si="11"/>
        <v/>
      </c>
      <c r="R100" s="194" t="str">
        <f t="shared" si="12"/>
        <v/>
      </c>
      <c r="S100" s="195" t="str">
        <f t="shared" si="14"/>
        <v/>
      </c>
      <c r="T100" s="196" t="str">
        <f t="shared" si="15"/>
        <v/>
      </c>
      <c r="U100" s="197" t="str">
        <f t="shared" si="16"/>
        <v/>
      </c>
      <c r="V100" s="198" t="str">
        <f t="shared" si="13"/>
        <v/>
      </c>
      <c r="W100" s="339" t="str">
        <f t="shared" si="17"/>
        <v/>
      </c>
      <c r="X100" s="341" t="str">
        <f t="shared" si="18"/>
        <v/>
      </c>
      <c r="Y100" s="277"/>
      <c r="AR100" t="str">
        <f t="shared" si="19"/>
        <v/>
      </c>
      <c r="AS100" t="str">
        <f t="shared" si="20"/>
        <v/>
      </c>
    </row>
    <row r="101" spans="1:45">
      <c r="A101" s="294"/>
      <c r="B101" s="295"/>
      <c r="C101" s="296"/>
      <c r="D101" s="296"/>
      <c r="E101" s="296"/>
      <c r="F101" s="296"/>
      <c r="G101" s="297"/>
      <c r="H101" s="303"/>
      <c r="I101" s="298"/>
      <c r="J101" s="298"/>
      <c r="K101" s="299"/>
      <c r="L101" s="304"/>
      <c r="M101" s="300"/>
      <c r="N101" s="301"/>
      <c r="P101" s="193" t="str">
        <f>IF(R101 = "", "", COUNT(R$4:$R101))</f>
        <v/>
      </c>
      <c r="Q101" s="193" t="str">
        <f t="shared" si="11"/>
        <v/>
      </c>
      <c r="R101" s="194" t="str">
        <f t="shared" si="12"/>
        <v/>
      </c>
      <c r="S101" s="195" t="str">
        <f t="shared" si="14"/>
        <v/>
      </c>
      <c r="T101" s="196" t="str">
        <f t="shared" si="15"/>
        <v/>
      </c>
      <c r="U101" s="197" t="str">
        <f t="shared" si="16"/>
        <v/>
      </c>
      <c r="V101" s="198" t="str">
        <f t="shared" si="13"/>
        <v/>
      </c>
      <c r="W101" s="339" t="str">
        <f t="shared" si="17"/>
        <v/>
      </c>
      <c r="X101" s="341" t="str">
        <f t="shared" si="18"/>
        <v/>
      </c>
      <c r="Y101" s="277"/>
      <c r="AR101" t="str">
        <f t="shared" si="19"/>
        <v/>
      </c>
      <c r="AS101" t="str">
        <f t="shared" si="20"/>
        <v/>
      </c>
    </row>
    <row r="102" spans="1:45">
      <c r="A102" s="294"/>
      <c r="B102" s="295"/>
      <c r="C102" s="296"/>
      <c r="D102" s="296"/>
      <c r="E102" s="296"/>
      <c r="F102" s="296"/>
      <c r="G102" s="297"/>
      <c r="H102" s="303"/>
      <c r="I102" s="298"/>
      <c r="J102" s="298"/>
      <c r="K102" s="299"/>
      <c r="L102" s="304"/>
      <c r="M102" s="300"/>
      <c r="N102" s="301"/>
      <c r="P102" s="193" t="str">
        <f>IF(R102 = "", "", COUNT(R$4:$R102))</f>
        <v/>
      </c>
      <c r="Q102" s="193" t="str">
        <f t="shared" si="11"/>
        <v/>
      </c>
      <c r="R102" s="194" t="str">
        <f t="shared" si="12"/>
        <v/>
      </c>
      <c r="S102" s="195" t="str">
        <f t="shared" si="14"/>
        <v/>
      </c>
      <c r="T102" s="196" t="str">
        <f t="shared" si="15"/>
        <v/>
      </c>
      <c r="U102" s="197" t="str">
        <f t="shared" si="16"/>
        <v/>
      </c>
      <c r="V102" s="198" t="str">
        <f t="shared" si="13"/>
        <v/>
      </c>
      <c r="W102" s="339" t="str">
        <f t="shared" si="17"/>
        <v/>
      </c>
      <c r="X102" s="341" t="str">
        <f t="shared" si="18"/>
        <v/>
      </c>
      <c r="Y102" s="277"/>
      <c r="AR102" t="str">
        <f t="shared" si="19"/>
        <v/>
      </c>
      <c r="AS102" t="str">
        <f t="shared" si="20"/>
        <v/>
      </c>
    </row>
    <row r="103" spans="1:45">
      <c r="A103" s="294"/>
      <c r="B103" s="295"/>
      <c r="C103" s="296"/>
      <c r="D103" s="296"/>
      <c r="E103" s="296"/>
      <c r="F103" s="296"/>
      <c r="G103" s="297"/>
      <c r="H103" s="303"/>
      <c r="I103" s="298"/>
      <c r="J103" s="298"/>
      <c r="K103" s="299"/>
      <c r="L103" s="304"/>
      <c r="M103" s="300"/>
      <c r="N103" s="301"/>
      <c r="P103" s="193" t="str">
        <f>IF(R103 = "", "", COUNT(R$4:$R103))</f>
        <v/>
      </c>
      <c r="Q103" s="193" t="str">
        <f t="shared" si="11"/>
        <v/>
      </c>
      <c r="R103" s="194" t="str">
        <f t="shared" si="12"/>
        <v/>
      </c>
      <c r="S103" s="195" t="str">
        <f t="shared" si="14"/>
        <v/>
      </c>
      <c r="T103" s="196" t="str">
        <f t="shared" si="15"/>
        <v/>
      </c>
      <c r="U103" s="197" t="str">
        <f t="shared" si="16"/>
        <v/>
      </c>
      <c r="V103" s="198" t="str">
        <f t="shared" si="13"/>
        <v/>
      </c>
      <c r="W103" s="339" t="str">
        <f t="shared" si="17"/>
        <v/>
      </c>
      <c r="X103" s="341" t="str">
        <f t="shared" si="18"/>
        <v/>
      </c>
      <c r="Y103" s="277"/>
      <c r="AR103" t="str">
        <f t="shared" si="19"/>
        <v/>
      </c>
      <c r="AS103" t="str">
        <f t="shared" si="20"/>
        <v/>
      </c>
    </row>
    <row r="104" spans="1:45">
      <c r="A104" s="294"/>
      <c r="B104" s="295"/>
      <c r="C104" s="296"/>
      <c r="D104" s="296"/>
      <c r="E104" s="296"/>
      <c r="F104" s="296"/>
      <c r="G104" s="297"/>
      <c r="H104" s="303"/>
      <c r="I104" s="298"/>
      <c r="J104" s="298"/>
      <c r="K104" s="299"/>
      <c r="L104" s="304"/>
      <c r="M104" s="300"/>
      <c r="N104" s="301"/>
      <c r="P104" s="193" t="str">
        <f>IF(R104 = "", "", COUNT(R$4:$R104))</f>
        <v/>
      </c>
      <c r="Q104" s="193" t="str">
        <f t="shared" si="11"/>
        <v/>
      </c>
      <c r="R104" s="194" t="str">
        <f t="shared" si="12"/>
        <v/>
      </c>
      <c r="S104" s="195" t="str">
        <f t="shared" si="14"/>
        <v/>
      </c>
      <c r="T104" s="196" t="str">
        <f t="shared" si="15"/>
        <v/>
      </c>
      <c r="U104" s="197" t="str">
        <f t="shared" si="16"/>
        <v/>
      </c>
      <c r="V104" s="198" t="str">
        <f t="shared" si="13"/>
        <v/>
      </c>
      <c r="W104" s="339" t="str">
        <f t="shared" si="17"/>
        <v/>
      </c>
      <c r="X104" s="341" t="str">
        <f t="shared" si="18"/>
        <v/>
      </c>
      <c r="Y104" s="277"/>
      <c r="AR104" t="str">
        <f t="shared" si="19"/>
        <v/>
      </c>
      <c r="AS104" t="str">
        <f t="shared" si="20"/>
        <v/>
      </c>
    </row>
    <row r="105" spans="1:45">
      <c r="A105" s="294"/>
      <c r="B105" s="295"/>
      <c r="C105" s="296"/>
      <c r="D105" s="296"/>
      <c r="E105" s="296"/>
      <c r="F105" s="296"/>
      <c r="G105" s="297"/>
      <c r="H105" s="303"/>
      <c r="I105" s="298"/>
      <c r="J105" s="298"/>
      <c r="K105" s="299"/>
      <c r="L105" s="304"/>
      <c r="M105" s="300"/>
      <c r="N105" s="301"/>
      <c r="P105" s="193" t="str">
        <f>IF(R105 = "", "", COUNT(R$4:$R105))</f>
        <v/>
      </c>
      <c r="Q105" s="193" t="str">
        <f t="shared" si="11"/>
        <v/>
      </c>
      <c r="R105" s="194" t="str">
        <f t="shared" si="12"/>
        <v/>
      </c>
      <c r="S105" s="195" t="str">
        <f t="shared" si="14"/>
        <v/>
      </c>
      <c r="T105" s="196" t="str">
        <f t="shared" si="15"/>
        <v/>
      </c>
      <c r="U105" s="197" t="str">
        <f t="shared" si="16"/>
        <v/>
      </c>
      <c r="V105" s="198" t="str">
        <f t="shared" si="13"/>
        <v/>
      </c>
      <c r="W105" s="339" t="str">
        <f t="shared" si="17"/>
        <v/>
      </c>
      <c r="X105" s="341" t="str">
        <f t="shared" si="18"/>
        <v/>
      </c>
      <c r="Y105" s="277"/>
      <c r="AR105" t="str">
        <f t="shared" si="19"/>
        <v/>
      </c>
      <c r="AS105" t="str">
        <f t="shared" si="20"/>
        <v/>
      </c>
    </row>
    <row r="106" spans="1:45">
      <c r="A106" s="294"/>
      <c r="B106" s="295"/>
      <c r="C106" s="296"/>
      <c r="D106" s="296"/>
      <c r="E106" s="296"/>
      <c r="F106" s="296"/>
      <c r="G106" s="297"/>
      <c r="H106" s="303"/>
      <c r="I106" s="298"/>
      <c r="J106" s="298"/>
      <c r="K106" s="299"/>
      <c r="L106" s="304"/>
      <c r="M106" s="300"/>
      <c r="N106" s="301"/>
      <c r="P106" s="193" t="str">
        <f>IF(R106 = "", "", COUNT(R$4:$R106))</f>
        <v/>
      </c>
      <c r="Q106" s="193" t="str">
        <f t="shared" si="11"/>
        <v/>
      </c>
      <c r="R106" s="194" t="str">
        <f t="shared" si="12"/>
        <v/>
      </c>
      <c r="S106" s="195" t="str">
        <f t="shared" si="14"/>
        <v/>
      </c>
      <c r="T106" s="196" t="str">
        <f t="shared" si="15"/>
        <v/>
      </c>
      <c r="U106" s="197" t="str">
        <f t="shared" si="16"/>
        <v/>
      </c>
      <c r="V106" s="198" t="str">
        <f t="shared" si="13"/>
        <v/>
      </c>
      <c r="W106" s="339" t="str">
        <f t="shared" si="17"/>
        <v/>
      </c>
      <c r="X106" s="341" t="str">
        <f t="shared" si="18"/>
        <v/>
      </c>
      <c r="Y106" s="277"/>
      <c r="AR106" t="str">
        <f t="shared" si="19"/>
        <v/>
      </c>
      <c r="AS106" t="str">
        <f t="shared" si="20"/>
        <v/>
      </c>
    </row>
    <row r="107" spans="1:45">
      <c r="A107" s="294"/>
      <c r="B107" s="295"/>
      <c r="C107" s="296"/>
      <c r="D107" s="296"/>
      <c r="E107" s="296"/>
      <c r="F107" s="296"/>
      <c r="G107" s="297"/>
      <c r="H107" s="303"/>
      <c r="I107" s="298"/>
      <c r="J107" s="298"/>
      <c r="K107" s="299"/>
      <c r="L107" s="304"/>
      <c r="M107" s="300"/>
      <c r="N107" s="301"/>
      <c r="P107" s="193" t="str">
        <f>IF(R107 = "", "", COUNT(R$4:$R107))</f>
        <v/>
      </c>
      <c r="Q107" s="193" t="str">
        <f t="shared" si="11"/>
        <v/>
      </c>
      <c r="R107" s="194" t="str">
        <f t="shared" si="12"/>
        <v/>
      </c>
      <c r="S107" s="195" t="str">
        <f t="shared" si="14"/>
        <v/>
      </c>
      <c r="T107" s="196" t="str">
        <f t="shared" si="15"/>
        <v/>
      </c>
      <c r="U107" s="197" t="str">
        <f t="shared" si="16"/>
        <v/>
      </c>
      <c r="V107" s="198" t="str">
        <f t="shared" si="13"/>
        <v/>
      </c>
      <c r="W107" s="339" t="str">
        <f t="shared" si="17"/>
        <v/>
      </c>
      <c r="X107" s="341" t="str">
        <f t="shared" si="18"/>
        <v/>
      </c>
      <c r="Y107" s="277"/>
      <c r="AR107" t="str">
        <f t="shared" si="19"/>
        <v/>
      </c>
      <c r="AS107" t="str">
        <f t="shared" si="20"/>
        <v/>
      </c>
    </row>
    <row r="108" spans="1:45">
      <c r="A108" s="294"/>
      <c r="B108" s="295"/>
      <c r="C108" s="296"/>
      <c r="D108" s="296"/>
      <c r="E108" s="296"/>
      <c r="F108" s="296"/>
      <c r="G108" s="297"/>
      <c r="H108" s="303"/>
      <c r="I108" s="298"/>
      <c r="J108" s="298"/>
      <c r="K108" s="299"/>
      <c r="L108" s="304"/>
      <c r="M108" s="300"/>
      <c r="N108" s="301"/>
      <c r="P108" s="193" t="str">
        <f>IF(R108 = "", "", COUNT(R$4:$R108))</f>
        <v/>
      </c>
      <c r="Q108" s="193" t="str">
        <f t="shared" si="11"/>
        <v/>
      </c>
      <c r="R108" s="194" t="str">
        <f t="shared" si="12"/>
        <v/>
      </c>
      <c r="S108" s="195" t="str">
        <f t="shared" si="14"/>
        <v/>
      </c>
      <c r="T108" s="196" t="str">
        <f t="shared" si="15"/>
        <v/>
      </c>
      <c r="U108" s="197" t="str">
        <f t="shared" si="16"/>
        <v/>
      </c>
      <c r="V108" s="198" t="str">
        <f t="shared" si="13"/>
        <v/>
      </c>
      <c r="W108" s="339" t="str">
        <f t="shared" si="17"/>
        <v/>
      </c>
      <c r="X108" s="341" t="str">
        <f t="shared" si="18"/>
        <v/>
      </c>
      <c r="Y108" s="277"/>
      <c r="AR108" t="str">
        <f t="shared" si="19"/>
        <v/>
      </c>
      <c r="AS108" t="str">
        <f t="shared" si="20"/>
        <v/>
      </c>
    </row>
    <row r="109" spans="1:45">
      <c r="A109" s="294"/>
      <c r="B109" s="295"/>
      <c r="C109" s="296"/>
      <c r="D109" s="296"/>
      <c r="E109" s="296"/>
      <c r="F109" s="296"/>
      <c r="G109" s="297"/>
      <c r="H109" s="303"/>
      <c r="I109" s="298"/>
      <c r="J109" s="298"/>
      <c r="K109" s="299"/>
      <c r="L109" s="304"/>
      <c r="M109" s="300"/>
      <c r="N109" s="301"/>
      <c r="P109" s="193" t="str">
        <f>IF(R109 = "", "", COUNT(R$4:$R109))</f>
        <v/>
      </c>
      <c r="Q109" s="193" t="str">
        <f t="shared" si="11"/>
        <v/>
      </c>
      <c r="R109" s="194" t="str">
        <f t="shared" si="12"/>
        <v/>
      </c>
      <c r="S109" s="195" t="str">
        <f t="shared" si="14"/>
        <v/>
      </c>
      <c r="T109" s="196" t="str">
        <f t="shared" si="15"/>
        <v/>
      </c>
      <c r="U109" s="197" t="str">
        <f t="shared" si="16"/>
        <v/>
      </c>
      <c r="V109" s="198" t="str">
        <f t="shared" si="13"/>
        <v/>
      </c>
      <c r="W109" s="339" t="str">
        <f t="shared" si="17"/>
        <v/>
      </c>
      <c r="X109" s="341" t="str">
        <f t="shared" si="18"/>
        <v/>
      </c>
      <c r="Y109" s="277"/>
      <c r="AR109" t="str">
        <f t="shared" si="19"/>
        <v/>
      </c>
      <c r="AS109" t="str">
        <f t="shared" si="20"/>
        <v/>
      </c>
    </row>
    <row r="110" spans="1:45">
      <c r="A110" s="294"/>
      <c r="B110" s="295"/>
      <c r="C110" s="296"/>
      <c r="D110" s="296"/>
      <c r="E110" s="296"/>
      <c r="F110" s="296"/>
      <c r="G110" s="297"/>
      <c r="H110" s="303"/>
      <c r="I110" s="298"/>
      <c r="J110" s="298"/>
      <c r="K110" s="299"/>
      <c r="L110" s="304"/>
      <c r="M110" s="300"/>
      <c r="N110" s="301"/>
      <c r="P110" s="193" t="str">
        <f>IF(R110 = "", "", COUNT(R$4:$R110))</f>
        <v/>
      </c>
      <c r="Q110" s="193" t="str">
        <f t="shared" si="11"/>
        <v/>
      </c>
      <c r="R110" s="194" t="str">
        <f t="shared" si="12"/>
        <v/>
      </c>
      <c r="S110" s="195" t="str">
        <f t="shared" si="14"/>
        <v/>
      </c>
      <c r="T110" s="196" t="str">
        <f t="shared" si="15"/>
        <v/>
      </c>
      <c r="U110" s="197" t="str">
        <f t="shared" si="16"/>
        <v/>
      </c>
      <c r="V110" s="198" t="str">
        <f t="shared" si="13"/>
        <v/>
      </c>
      <c r="W110" s="339" t="str">
        <f t="shared" si="17"/>
        <v/>
      </c>
      <c r="X110" s="341" t="str">
        <f t="shared" si="18"/>
        <v/>
      </c>
      <c r="Y110" s="277"/>
      <c r="AR110" t="str">
        <f t="shared" si="19"/>
        <v/>
      </c>
      <c r="AS110" t="str">
        <f t="shared" si="20"/>
        <v/>
      </c>
    </row>
    <row r="111" spans="1:45">
      <c r="A111" s="294"/>
      <c r="B111" s="295"/>
      <c r="C111" s="296"/>
      <c r="D111" s="296"/>
      <c r="E111" s="296"/>
      <c r="F111" s="296"/>
      <c r="G111" s="297"/>
      <c r="H111" s="303"/>
      <c r="I111" s="298"/>
      <c r="J111" s="298"/>
      <c r="K111" s="299"/>
      <c r="L111" s="304"/>
      <c r="M111" s="300"/>
      <c r="N111" s="301"/>
      <c r="P111" s="193" t="str">
        <f>IF(R111 = "", "", COUNT(R$4:$R111))</f>
        <v/>
      </c>
      <c r="Q111" s="193" t="str">
        <f t="shared" si="11"/>
        <v/>
      </c>
      <c r="R111" s="194" t="str">
        <f t="shared" si="12"/>
        <v/>
      </c>
      <c r="S111" s="195" t="str">
        <f t="shared" si="14"/>
        <v/>
      </c>
      <c r="T111" s="196" t="str">
        <f t="shared" si="15"/>
        <v/>
      </c>
      <c r="U111" s="197" t="str">
        <f t="shared" si="16"/>
        <v/>
      </c>
      <c r="V111" s="198" t="str">
        <f t="shared" si="13"/>
        <v/>
      </c>
      <c r="W111" s="339" t="str">
        <f t="shared" si="17"/>
        <v/>
      </c>
      <c r="X111" s="341" t="str">
        <f t="shared" si="18"/>
        <v/>
      </c>
      <c r="Y111" s="277"/>
      <c r="AR111" t="str">
        <f t="shared" si="19"/>
        <v/>
      </c>
      <c r="AS111" t="str">
        <f t="shared" si="20"/>
        <v/>
      </c>
    </row>
    <row r="112" spans="1:45">
      <c r="A112" s="294"/>
      <c r="B112" s="295"/>
      <c r="C112" s="296"/>
      <c r="D112" s="296"/>
      <c r="E112" s="296"/>
      <c r="F112" s="296"/>
      <c r="G112" s="297"/>
      <c r="H112" s="303"/>
      <c r="I112" s="298"/>
      <c r="J112" s="298"/>
      <c r="K112" s="299"/>
      <c r="L112" s="304"/>
      <c r="M112" s="300"/>
      <c r="N112" s="301"/>
      <c r="P112" s="193" t="str">
        <f>IF(R112 = "", "", COUNT(R$4:$R112))</f>
        <v/>
      </c>
      <c r="Q112" s="193" t="str">
        <f t="shared" si="11"/>
        <v/>
      </c>
      <c r="R112" s="194" t="str">
        <f t="shared" si="12"/>
        <v/>
      </c>
      <c r="S112" s="195" t="str">
        <f t="shared" si="14"/>
        <v/>
      </c>
      <c r="T112" s="196" t="str">
        <f t="shared" si="15"/>
        <v/>
      </c>
      <c r="U112" s="197" t="str">
        <f t="shared" si="16"/>
        <v/>
      </c>
      <c r="V112" s="198" t="str">
        <f t="shared" si="13"/>
        <v/>
      </c>
      <c r="W112" s="339" t="str">
        <f t="shared" si="17"/>
        <v/>
      </c>
      <c r="X112" s="341" t="str">
        <f t="shared" si="18"/>
        <v/>
      </c>
      <c r="Y112" s="277"/>
      <c r="AR112" t="str">
        <f t="shared" si="19"/>
        <v/>
      </c>
      <c r="AS112" t="str">
        <f t="shared" si="20"/>
        <v/>
      </c>
    </row>
    <row r="113" spans="1:45">
      <c r="A113" s="294"/>
      <c r="B113" s="295"/>
      <c r="C113" s="296"/>
      <c r="D113" s="296"/>
      <c r="E113" s="296"/>
      <c r="F113" s="296"/>
      <c r="G113" s="297"/>
      <c r="H113" s="303"/>
      <c r="I113" s="298"/>
      <c r="J113" s="298"/>
      <c r="K113" s="299"/>
      <c r="L113" s="304"/>
      <c r="M113" s="300"/>
      <c r="N113" s="301"/>
      <c r="P113" s="193" t="str">
        <f>IF(R113 = "", "", COUNT(R$4:$R113))</f>
        <v/>
      </c>
      <c r="Q113" s="193" t="str">
        <f t="shared" si="11"/>
        <v/>
      </c>
      <c r="R113" s="194" t="str">
        <f t="shared" si="12"/>
        <v/>
      </c>
      <c r="S113" s="195" t="str">
        <f t="shared" si="14"/>
        <v/>
      </c>
      <c r="T113" s="196" t="str">
        <f t="shared" si="15"/>
        <v/>
      </c>
      <c r="U113" s="197" t="str">
        <f t="shared" si="16"/>
        <v/>
      </c>
      <c r="V113" s="198" t="str">
        <f t="shared" si="13"/>
        <v/>
      </c>
      <c r="W113" s="339" t="str">
        <f t="shared" si="17"/>
        <v/>
      </c>
      <c r="X113" s="341" t="str">
        <f t="shared" si="18"/>
        <v/>
      </c>
      <c r="Y113" s="277"/>
      <c r="AR113" t="str">
        <f t="shared" si="19"/>
        <v/>
      </c>
      <c r="AS113" t="str">
        <f t="shared" si="20"/>
        <v/>
      </c>
    </row>
    <row r="114" spans="1:45">
      <c r="A114" s="294"/>
      <c r="B114" s="295"/>
      <c r="C114" s="296"/>
      <c r="D114" s="296"/>
      <c r="E114" s="296"/>
      <c r="F114" s="296"/>
      <c r="G114" s="297"/>
      <c r="H114" s="303"/>
      <c r="I114" s="298"/>
      <c r="J114" s="298"/>
      <c r="K114" s="299"/>
      <c r="L114" s="304"/>
      <c r="M114" s="300"/>
      <c r="N114" s="301"/>
      <c r="P114" s="193" t="str">
        <f>IF(R114 = "", "", COUNT(R$4:$R114))</f>
        <v/>
      </c>
      <c r="Q114" s="193" t="str">
        <f t="shared" si="11"/>
        <v/>
      </c>
      <c r="R114" s="194" t="str">
        <f t="shared" si="12"/>
        <v/>
      </c>
      <c r="S114" s="195" t="str">
        <f t="shared" si="14"/>
        <v/>
      </c>
      <c r="T114" s="196" t="str">
        <f t="shared" si="15"/>
        <v/>
      </c>
      <c r="U114" s="197" t="str">
        <f t="shared" si="16"/>
        <v/>
      </c>
      <c r="V114" s="198" t="str">
        <f t="shared" si="13"/>
        <v/>
      </c>
      <c r="W114" s="339" t="str">
        <f t="shared" si="17"/>
        <v/>
      </c>
      <c r="X114" s="341" t="str">
        <f t="shared" si="18"/>
        <v/>
      </c>
      <c r="Y114" s="277"/>
      <c r="AR114" t="str">
        <f t="shared" si="19"/>
        <v/>
      </c>
      <c r="AS114" t="str">
        <f t="shared" si="20"/>
        <v/>
      </c>
    </row>
    <row r="115" spans="1:45">
      <c r="A115" s="294"/>
      <c r="B115" s="295"/>
      <c r="C115" s="296"/>
      <c r="D115" s="296"/>
      <c r="E115" s="296"/>
      <c r="F115" s="296"/>
      <c r="G115" s="297"/>
      <c r="H115" s="303"/>
      <c r="I115" s="298"/>
      <c r="J115" s="298"/>
      <c r="K115" s="299"/>
      <c r="L115" s="304"/>
      <c r="M115" s="300"/>
      <c r="N115" s="301"/>
      <c r="P115" s="193" t="str">
        <f>IF(R115 = "", "", COUNT(R$4:$R115))</f>
        <v/>
      </c>
      <c r="Q115" s="193" t="str">
        <f t="shared" si="11"/>
        <v/>
      </c>
      <c r="R115" s="194" t="str">
        <f t="shared" si="12"/>
        <v/>
      </c>
      <c r="S115" s="195" t="str">
        <f t="shared" si="14"/>
        <v/>
      </c>
      <c r="T115" s="196" t="str">
        <f t="shared" si="15"/>
        <v/>
      </c>
      <c r="U115" s="197" t="str">
        <f t="shared" si="16"/>
        <v/>
      </c>
      <c r="V115" s="198" t="str">
        <f t="shared" si="13"/>
        <v/>
      </c>
      <c r="W115" s="339" t="str">
        <f t="shared" si="17"/>
        <v/>
      </c>
      <c r="X115" s="341" t="str">
        <f t="shared" si="18"/>
        <v/>
      </c>
      <c r="Y115" s="277"/>
      <c r="AR115" t="str">
        <f t="shared" si="19"/>
        <v/>
      </c>
      <c r="AS115" t="str">
        <f t="shared" si="20"/>
        <v/>
      </c>
    </row>
    <row r="116" spans="1:45">
      <c r="A116" s="294"/>
      <c r="B116" s="295"/>
      <c r="C116" s="296"/>
      <c r="D116" s="296"/>
      <c r="E116" s="296"/>
      <c r="F116" s="296"/>
      <c r="G116" s="297"/>
      <c r="H116" s="303"/>
      <c r="I116" s="298"/>
      <c r="J116" s="298"/>
      <c r="K116" s="299"/>
      <c r="L116" s="304"/>
      <c r="M116" s="300"/>
      <c r="N116" s="301"/>
      <c r="P116" s="193" t="str">
        <f>IF(R116 = "", "", COUNT(R$4:$R116))</f>
        <v/>
      </c>
      <c r="Q116" s="193" t="str">
        <f t="shared" si="11"/>
        <v/>
      </c>
      <c r="R116" s="194" t="str">
        <f t="shared" si="12"/>
        <v/>
      </c>
      <c r="S116" s="195" t="str">
        <f t="shared" si="14"/>
        <v/>
      </c>
      <c r="T116" s="196" t="str">
        <f t="shared" si="15"/>
        <v/>
      </c>
      <c r="U116" s="197" t="str">
        <f t="shared" si="16"/>
        <v/>
      </c>
      <c r="V116" s="198" t="str">
        <f t="shared" si="13"/>
        <v/>
      </c>
      <c r="W116" s="339" t="str">
        <f t="shared" si="17"/>
        <v/>
      </c>
      <c r="X116" s="341" t="str">
        <f t="shared" si="18"/>
        <v/>
      </c>
      <c r="Y116" s="277"/>
      <c r="AR116" t="str">
        <f t="shared" si="19"/>
        <v/>
      </c>
      <c r="AS116" t="str">
        <f t="shared" si="20"/>
        <v/>
      </c>
    </row>
    <row r="117" spans="1:45">
      <c r="A117" s="294"/>
      <c r="B117" s="295"/>
      <c r="C117" s="296"/>
      <c r="D117" s="296"/>
      <c r="E117" s="296"/>
      <c r="F117" s="296"/>
      <c r="G117" s="297"/>
      <c r="H117" s="303"/>
      <c r="I117" s="298"/>
      <c r="J117" s="298"/>
      <c r="K117" s="299"/>
      <c r="L117" s="304"/>
      <c r="M117" s="300"/>
      <c r="N117" s="301"/>
      <c r="P117" s="193" t="str">
        <f>IF(R117 = "", "", COUNT(R$4:$R117))</f>
        <v/>
      </c>
      <c r="Q117" s="193" t="str">
        <f t="shared" si="11"/>
        <v/>
      </c>
      <c r="R117" s="194" t="str">
        <f t="shared" si="12"/>
        <v/>
      </c>
      <c r="S117" s="195" t="str">
        <f t="shared" si="14"/>
        <v/>
      </c>
      <c r="T117" s="196" t="str">
        <f t="shared" si="15"/>
        <v/>
      </c>
      <c r="U117" s="197" t="str">
        <f t="shared" si="16"/>
        <v/>
      </c>
      <c r="V117" s="198" t="str">
        <f t="shared" si="13"/>
        <v/>
      </c>
      <c r="W117" s="339" t="str">
        <f t="shared" si="17"/>
        <v/>
      </c>
      <c r="X117" s="341" t="str">
        <f t="shared" si="18"/>
        <v/>
      </c>
      <c r="Y117" s="277"/>
      <c r="AR117" t="str">
        <f t="shared" si="19"/>
        <v/>
      </c>
      <c r="AS117" t="str">
        <f t="shared" si="20"/>
        <v/>
      </c>
    </row>
    <row r="118" spans="1:45">
      <c r="A118" s="294"/>
      <c r="B118" s="295"/>
      <c r="C118" s="296"/>
      <c r="D118" s="296"/>
      <c r="E118" s="296"/>
      <c r="F118" s="296"/>
      <c r="G118" s="297"/>
      <c r="H118" s="303"/>
      <c r="I118" s="298"/>
      <c r="J118" s="298"/>
      <c r="K118" s="299"/>
      <c r="L118" s="304"/>
      <c r="M118" s="300"/>
      <c r="N118" s="301"/>
      <c r="P118" s="193" t="str">
        <f>IF(R118 = "", "", COUNT(R$4:$R118))</f>
        <v/>
      </c>
      <c r="Q118" s="193" t="str">
        <f t="shared" si="11"/>
        <v/>
      </c>
      <c r="R118" s="194" t="str">
        <f t="shared" si="12"/>
        <v/>
      </c>
      <c r="S118" s="195" t="str">
        <f t="shared" si="14"/>
        <v/>
      </c>
      <c r="T118" s="196" t="str">
        <f t="shared" si="15"/>
        <v/>
      </c>
      <c r="U118" s="197" t="str">
        <f t="shared" si="16"/>
        <v/>
      </c>
      <c r="V118" s="198" t="str">
        <f t="shared" si="13"/>
        <v/>
      </c>
      <c r="W118" s="339" t="str">
        <f t="shared" si="17"/>
        <v/>
      </c>
      <c r="X118" s="341" t="str">
        <f t="shared" si="18"/>
        <v/>
      </c>
      <c r="Y118" s="277"/>
      <c r="AR118" t="str">
        <f t="shared" si="19"/>
        <v/>
      </c>
      <c r="AS118" t="str">
        <f t="shared" si="20"/>
        <v/>
      </c>
    </row>
    <row r="119" spans="1:45">
      <c r="A119" s="294"/>
      <c r="B119" s="295"/>
      <c r="C119" s="296"/>
      <c r="D119" s="296"/>
      <c r="E119" s="296"/>
      <c r="F119" s="296"/>
      <c r="G119" s="297"/>
      <c r="H119" s="303"/>
      <c r="I119" s="298"/>
      <c r="J119" s="298"/>
      <c r="K119" s="299"/>
      <c r="L119" s="304"/>
      <c r="M119" s="300"/>
      <c r="N119" s="301"/>
      <c r="P119" s="193" t="str">
        <f>IF(R119 = "", "", COUNT(R$4:$R119))</f>
        <v/>
      </c>
      <c r="Q119" s="193" t="str">
        <f t="shared" si="11"/>
        <v/>
      </c>
      <c r="R119" s="194" t="str">
        <f t="shared" si="12"/>
        <v/>
      </c>
      <c r="S119" s="195" t="str">
        <f t="shared" si="14"/>
        <v/>
      </c>
      <c r="T119" s="196" t="str">
        <f t="shared" si="15"/>
        <v/>
      </c>
      <c r="U119" s="197" t="str">
        <f t="shared" si="16"/>
        <v/>
      </c>
      <c r="V119" s="198" t="str">
        <f t="shared" si="13"/>
        <v/>
      </c>
      <c r="W119" s="339" t="str">
        <f t="shared" si="17"/>
        <v/>
      </c>
      <c r="X119" s="341" t="str">
        <f t="shared" si="18"/>
        <v/>
      </c>
      <c r="Y119" s="277"/>
      <c r="AR119" t="str">
        <f t="shared" si="19"/>
        <v/>
      </c>
      <c r="AS119" t="str">
        <f t="shared" si="20"/>
        <v/>
      </c>
    </row>
    <row r="120" spans="1:45">
      <c r="A120" s="294"/>
      <c r="B120" s="295"/>
      <c r="C120" s="296"/>
      <c r="D120" s="296"/>
      <c r="E120" s="296"/>
      <c r="F120" s="296"/>
      <c r="G120" s="297"/>
      <c r="H120" s="303"/>
      <c r="I120" s="298"/>
      <c r="J120" s="298"/>
      <c r="K120" s="299"/>
      <c r="L120" s="304"/>
      <c r="M120" s="300"/>
      <c r="N120" s="301"/>
      <c r="P120" s="193" t="str">
        <f>IF(R120 = "", "", COUNT(R$4:$R120))</f>
        <v/>
      </c>
      <c r="Q120" s="193" t="str">
        <f t="shared" si="11"/>
        <v/>
      </c>
      <c r="R120" s="194" t="str">
        <f t="shared" si="12"/>
        <v/>
      </c>
      <c r="S120" s="195" t="str">
        <f t="shared" si="14"/>
        <v/>
      </c>
      <c r="T120" s="196" t="str">
        <f t="shared" si="15"/>
        <v/>
      </c>
      <c r="U120" s="197" t="str">
        <f t="shared" si="16"/>
        <v/>
      </c>
      <c r="V120" s="198" t="str">
        <f t="shared" si="13"/>
        <v/>
      </c>
      <c r="W120" s="339" t="str">
        <f t="shared" si="17"/>
        <v/>
      </c>
      <c r="X120" s="341" t="str">
        <f t="shared" si="18"/>
        <v/>
      </c>
      <c r="Y120" s="277"/>
      <c r="AR120" t="str">
        <f t="shared" si="19"/>
        <v/>
      </c>
      <c r="AS120" t="str">
        <f t="shared" si="20"/>
        <v/>
      </c>
    </row>
    <row r="121" spans="1:45">
      <c r="A121" s="294"/>
      <c r="B121" s="295"/>
      <c r="C121" s="296"/>
      <c r="D121" s="296"/>
      <c r="E121" s="296"/>
      <c r="F121" s="296"/>
      <c r="G121" s="297"/>
      <c r="H121" s="303"/>
      <c r="I121" s="298"/>
      <c r="J121" s="298"/>
      <c r="K121" s="299"/>
      <c r="L121" s="304"/>
      <c r="M121" s="300"/>
      <c r="N121" s="301"/>
      <c r="P121" s="193" t="str">
        <f>IF(R121 = "", "", COUNT(R$4:$R121))</f>
        <v/>
      </c>
      <c r="Q121" s="193" t="str">
        <f t="shared" si="11"/>
        <v/>
      </c>
      <c r="R121" s="194" t="str">
        <f t="shared" si="12"/>
        <v/>
      </c>
      <c r="S121" s="195" t="str">
        <f t="shared" si="14"/>
        <v/>
      </c>
      <c r="T121" s="196" t="str">
        <f t="shared" si="15"/>
        <v/>
      </c>
      <c r="U121" s="197" t="str">
        <f t="shared" si="16"/>
        <v/>
      </c>
      <c r="V121" s="198" t="str">
        <f t="shared" si="13"/>
        <v/>
      </c>
      <c r="W121" s="339" t="str">
        <f t="shared" si="17"/>
        <v/>
      </c>
      <c r="X121" s="341" t="str">
        <f t="shared" si="18"/>
        <v/>
      </c>
      <c r="Y121" s="277"/>
      <c r="AR121" t="str">
        <f t="shared" si="19"/>
        <v/>
      </c>
      <c r="AS121" t="str">
        <f t="shared" si="20"/>
        <v/>
      </c>
    </row>
    <row r="122" spans="1:45">
      <c r="A122" s="294"/>
      <c r="B122" s="295"/>
      <c r="C122" s="296"/>
      <c r="D122" s="296"/>
      <c r="E122" s="296"/>
      <c r="F122" s="296"/>
      <c r="G122" s="297"/>
      <c r="H122" s="303"/>
      <c r="I122" s="298"/>
      <c r="J122" s="298"/>
      <c r="K122" s="299"/>
      <c r="L122" s="304"/>
      <c r="M122" s="300"/>
      <c r="N122" s="301"/>
      <c r="P122" s="193" t="str">
        <f>IF(R122 = "", "", COUNT(R$4:$R122))</f>
        <v/>
      </c>
      <c r="Q122" s="193" t="str">
        <f t="shared" si="11"/>
        <v/>
      </c>
      <c r="R122" s="194" t="str">
        <f t="shared" si="12"/>
        <v/>
      </c>
      <c r="S122" s="195" t="str">
        <f t="shared" si="14"/>
        <v/>
      </c>
      <c r="T122" s="196" t="str">
        <f t="shared" si="15"/>
        <v/>
      </c>
      <c r="U122" s="197" t="str">
        <f t="shared" si="16"/>
        <v/>
      </c>
      <c r="V122" s="198" t="str">
        <f t="shared" si="13"/>
        <v/>
      </c>
      <c r="W122" s="339" t="str">
        <f t="shared" si="17"/>
        <v/>
      </c>
      <c r="X122" s="341" t="str">
        <f t="shared" si="18"/>
        <v/>
      </c>
      <c r="Y122" s="277"/>
      <c r="AR122" t="str">
        <f t="shared" si="19"/>
        <v/>
      </c>
      <c r="AS122" t="str">
        <f t="shared" si="20"/>
        <v/>
      </c>
    </row>
    <row r="123" spans="1:45">
      <c r="A123" s="294"/>
      <c r="B123" s="295"/>
      <c r="C123" s="296"/>
      <c r="D123" s="296"/>
      <c r="E123" s="296"/>
      <c r="F123" s="296"/>
      <c r="G123" s="297"/>
      <c r="H123" s="303"/>
      <c r="I123" s="298"/>
      <c r="J123" s="298"/>
      <c r="K123" s="299"/>
      <c r="L123" s="304"/>
      <c r="M123" s="300"/>
      <c r="N123" s="301"/>
      <c r="P123" s="193" t="str">
        <f>IF(R123 = "", "", COUNT(R$4:$R123))</f>
        <v/>
      </c>
      <c r="Q123" s="193" t="str">
        <f t="shared" si="11"/>
        <v/>
      </c>
      <c r="R123" s="194" t="str">
        <f t="shared" si="12"/>
        <v/>
      </c>
      <c r="S123" s="195" t="str">
        <f t="shared" si="14"/>
        <v/>
      </c>
      <c r="T123" s="196" t="str">
        <f t="shared" si="15"/>
        <v/>
      </c>
      <c r="U123" s="197" t="str">
        <f t="shared" si="16"/>
        <v/>
      </c>
      <c r="V123" s="198" t="str">
        <f t="shared" si="13"/>
        <v/>
      </c>
      <c r="W123" s="339" t="str">
        <f t="shared" si="17"/>
        <v/>
      </c>
      <c r="X123" s="341" t="str">
        <f t="shared" si="18"/>
        <v/>
      </c>
      <c r="Y123" s="277"/>
      <c r="AR123" t="str">
        <f t="shared" si="19"/>
        <v/>
      </c>
      <c r="AS123" t="str">
        <f t="shared" si="20"/>
        <v/>
      </c>
    </row>
    <row r="124" spans="1:45">
      <c r="A124" s="294"/>
      <c r="B124" s="295"/>
      <c r="C124" s="296"/>
      <c r="D124" s="296"/>
      <c r="E124" s="296"/>
      <c r="F124" s="296"/>
      <c r="G124" s="297"/>
      <c r="H124" s="303"/>
      <c r="I124" s="298"/>
      <c r="J124" s="298"/>
      <c r="K124" s="299"/>
      <c r="L124" s="304"/>
      <c r="M124" s="300"/>
      <c r="N124" s="301"/>
      <c r="P124" s="193" t="str">
        <f>IF(R124 = "", "", COUNT(R$4:$R124))</f>
        <v/>
      </c>
      <c r="Q124" s="193" t="str">
        <f t="shared" si="11"/>
        <v/>
      </c>
      <c r="R124" s="194" t="str">
        <f t="shared" si="12"/>
        <v/>
      </c>
      <c r="S124" s="195" t="str">
        <f t="shared" si="14"/>
        <v/>
      </c>
      <c r="T124" s="196" t="str">
        <f t="shared" si="15"/>
        <v/>
      </c>
      <c r="U124" s="197" t="str">
        <f t="shared" si="16"/>
        <v/>
      </c>
      <c r="V124" s="198" t="str">
        <f t="shared" si="13"/>
        <v/>
      </c>
      <c r="W124" s="339" t="str">
        <f t="shared" si="17"/>
        <v/>
      </c>
      <c r="X124" s="341" t="str">
        <f t="shared" si="18"/>
        <v/>
      </c>
      <c r="Y124" s="277"/>
      <c r="AR124" t="str">
        <f t="shared" si="19"/>
        <v/>
      </c>
      <c r="AS124" t="str">
        <f t="shared" si="20"/>
        <v/>
      </c>
    </row>
    <row r="125" spans="1:45">
      <c r="A125" s="294"/>
      <c r="B125" s="295"/>
      <c r="C125" s="296"/>
      <c r="D125" s="296"/>
      <c r="E125" s="296"/>
      <c r="F125" s="296"/>
      <c r="G125" s="297"/>
      <c r="H125" s="303"/>
      <c r="I125" s="298"/>
      <c r="J125" s="298"/>
      <c r="K125" s="299"/>
      <c r="L125" s="304"/>
      <c r="M125" s="300"/>
      <c r="N125" s="301"/>
      <c r="P125" s="193" t="str">
        <f>IF(R125 = "", "", COUNT(R$4:$R125))</f>
        <v/>
      </c>
      <c r="Q125" s="193" t="str">
        <f t="shared" si="11"/>
        <v/>
      </c>
      <c r="R125" s="194" t="str">
        <f t="shared" si="12"/>
        <v/>
      </c>
      <c r="S125" s="195" t="str">
        <f t="shared" si="14"/>
        <v/>
      </c>
      <c r="T125" s="196" t="str">
        <f t="shared" si="15"/>
        <v/>
      </c>
      <c r="U125" s="197" t="str">
        <f t="shared" si="16"/>
        <v/>
      </c>
      <c r="V125" s="198" t="str">
        <f t="shared" si="13"/>
        <v/>
      </c>
      <c r="W125" s="339" t="str">
        <f t="shared" si="17"/>
        <v/>
      </c>
      <c r="X125" s="341" t="str">
        <f t="shared" si="18"/>
        <v/>
      </c>
      <c r="Y125" s="277"/>
      <c r="AR125" t="str">
        <f t="shared" si="19"/>
        <v/>
      </c>
      <c r="AS125" t="str">
        <f t="shared" si="20"/>
        <v/>
      </c>
    </row>
    <row r="126" spans="1:45">
      <c r="A126" s="294"/>
      <c r="B126" s="295"/>
      <c r="C126" s="296"/>
      <c r="D126" s="296"/>
      <c r="E126" s="296"/>
      <c r="F126" s="296"/>
      <c r="G126" s="297"/>
      <c r="H126" s="303"/>
      <c r="I126" s="298"/>
      <c r="J126" s="298"/>
      <c r="K126" s="299"/>
      <c r="L126" s="304"/>
      <c r="M126" s="300"/>
      <c r="N126" s="301"/>
      <c r="P126" s="193" t="str">
        <f>IF(R126 = "", "", COUNT(R$4:$R126))</f>
        <v/>
      </c>
      <c r="Q126" s="193" t="str">
        <f t="shared" si="11"/>
        <v/>
      </c>
      <c r="R126" s="194" t="str">
        <f t="shared" si="12"/>
        <v/>
      </c>
      <c r="S126" s="195" t="str">
        <f t="shared" si="14"/>
        <v/>
      </c>
      <c r="T126" s="196" t="str">
        <f t="shared" si="15"/>
        <v/>
      </c>
      <c r="U126" s="197" t="str">
        <f t="shared" si="16"/>
        <v/>
      </c>
      <c r="V126" s="198" t="str">
        <f t="shared" si="13"/>
        <v/>
      </c>
      <c r="W126" s="339" t="str">
        <f t="shared" si="17"/>
        <v/>
      </c>
      <c r="X126" s="341" t="str">
        <f t="shared" si="18"/>
        <v/>
      </c>
      <c r="Y126" s="277"/>
      <c r="AR126" t="str">
        <f t="shared" si="19"/>
        <v/>
      </c>
      <c r="AS126" t="str">
        <f t="shared" si="20"/>
        <v/>
      </c>
    </row>
    <row r="127" spans="1:45">
      <c r="A127" s="294"/>
      <c r="B127" s="295"/>
      <c r="C127" s="296"/>
      <c r="D127" s="296"/>
      <c r="E127" s="296"/>
      <c r="F127" s="296"/>
      <c r="G127" s="297"/>
      <c r="H127" s="303"/>
      <c r="I127" s="298"/>
      <c r="J127" s="298"/>
      <c r="K127" s="299"/>
      <c r="L127" s="304"/>
      <c r="M127" s="300"/>
      <c r="N127" s="301"/>
      <c r="P127" s="193" t="str">
        <f>IF(R127 = "", "", COUNT(R$4:$R127))</f>
        <v/>
      </c>
      <c r="Q127" s="193" t="str">
        <f t="shared" si="11"/>
        <v/>
      </c>
      <c r="R127" s="194" t="str">
        <f t="shared" si="12"/>
        <v/>
      </c>
      <c r="S127" s="195" t="str">
        <f t="shared" si="14"/>
        <v/>
      </c>
      <c r="T127" s="196" t="str">
        <f t="shared" si="15"/>
        <v/>
      </c>
      <c r="U127" s="197" t="str">
        <f t="shared" si="16"/>
        <v/>
      </c>
      <c r="V127" s="198" t="str">
        <f t="shared" si="13"/>
        <v/>
      </c>
      <c r="W127" s="339" t="str">
        <f t="shared" si="17"/>
        <v/>
      </c>
      <c r="X127" s="341" t="str">
        <f t="shared" si="18"/>
        <v/>
      </c>
      <c r="Y127" s="277"/>
      <c r="AR127" t="str">
        <f t="shared" si="19"/>
        <v/>
      </c>
      <c r="AS127" t="str">
        <f t="shared" si="20"/>
        <v/>
      </c>
    </row>
    <row r="128" spans="1:45">
      <c r="A128" s="294"/>
      <c r="B128" s="295"/>
      <c r="C128" s="296"/>
      <c r="D128" s="296"/>
      <c r="E128" s="296"/>
      <c r="F128" s="296"/>
      <c r="G128" s="297"/>
      <c r="H128" s="303"/>
      <c r="I128" s="298"/>
      <c r="J128" s="298"/>
      <c r="K128" s="299"/>
      <c r="L128" s="304"/>
      <c r="M128" s="300"/>
      <c r="N128" s="301"/>
      <c r="P128" s="193" t="str">
        <f>IF(R128 = "", "", COUNT(R$4:$R128))</f>
        <v/>
      </c>
      <c r="Q128" s="193" t="str">
        <f t="shared" si="11"/>
        <v/>
      </c>
      <c r="R128" s="194" t="str">
        <f t="shared" si="12"/>
        <v/>
      </c>
      <c r="S128" s="195" t="str">
        <f t="shared" si="14"/>
        <v/>
      </c>
      <c r="T128" s="196" t="str">
        <f t="shared" si="15"/>
        <v/>
      </c>
      <c r="U128" s="197" t="str">
        <f t="shared" si="16"/>
        <v/>
      </c>
      <c r="V128" s="198" t="str">
        <f t="shared" si="13"/>
        <v/>
      </c>
      <c r="W128" s="339" t="str">
        <f t="shared" si="17"/>
        <v/>
      </c>
      <c r="X128" s="341" t="str">
        <f t="shared" si="18"/>
        <v/>
      </c>
      <c r="Y128" s="277"/>
      <c r="AR128" t="str">
        <f t="shared" si="19"/>
        <v/>
      </c>
      <c r="AS128" t="str">
        <f t="shared" si="20"/>
        <v/>
      </c>
    </row>
    <row r="129" spans="1:45">
      <c r="A129" s="294"/>
      <c r="B129" s="295"/>
      <c r="C129" s="296"/>
      <c r="D129" s="296"/>
      <c r="E129" s="296"/>
      <c r="F129" s="296"/>
      <c r="G129" s="297"/>
      <c r="H129" s="303"/>
      <c r="I129" s="298"/>
      <c r="J129" s="298"/>
      <c r="K129" s="299"/>
      <c r="L129" s="304"/>
      <c r="M129" s="300"/>
      <c r="N129" s="301"/>
      <c r="P129" s="193" t="str">
        <f>IF(R129 = "", "", COUNT(R$4:$R129))</f>
        <v/>
      </c>
      <c r="Q129" s="193" t="str">
        <f t="shared" si="11"/>
        <v/>
      </c>
      <c r="R129" s="194" t="str">
        <f t="shared" si="12"/>
        <v/>
      </c>
      <c r="S129" s="195" t="str">
        <f t="shared" si="14"/>
        <v/>
      </c>
      <c r="T129" s="196" t="str">
        <f t="shared" si="15"/>
        <v/>
      </c>
      <c r="U129" s="197" t="str">
        <f t="shared" si="16"/>
        <v/>
      </c>
      <c r="V129" s="198" t="str">
        <f t="shared" si="13"/>
        <v/>
      </c>
      <c r="W129" s="339" t="str">
        <f t="shared" si="17"/>
        <v/>
      </c>
      <c r="X129" s="341" t="str">
        <f t="shared" si="18"/>
        <v/>
      </c>
      <c r="Y129" s="277"/>
      <c r="AR129" t="str">
        <f t="shared" si="19"/>
        <v/>
      </c>
      <c r="AS129" t="str">
        <f t="shared" si="20"/>
        <v/>
      </c>
    </row>
    <row r="130" spans="1:45">
      <c r="A130" s="294"/>
      <c r="B130" s="295"/>
      <c r="C130" s="296"/>
      <c r="D130" s="296"/>
      <c r="E130" s="296"/>
      <c r="F130" s="296"/>
      <c r="G130" s="297"/>
      <c r="H130" s="303"/>
      <c r="I130" s="298"/>
      <c r="J130" s="298"/>
      <c r="K130" s="299"/>
      <c r="L130" s="304"/>
      <c r="M130" s="300"/>
      <c r="N130" s="301"/>
      <c r="P130" s="193" t="str">
        <f>IF(R130 = "", "", COUNT(R$4:$R130))</f>
        <v/>
      </c>
      <c r="Q130" s="193" t="str">
        <f t="shared" si="11"/>
        <v/>
      </c>
      <c r="R130" s="194" t="str">
        <f t="shared" si="12"/>
        <v/>
      </c>
      <c r="S130" s="195" t="str">
        <f t="shared" si="14"/>
        <v/>
      </c>
      <c r="T130" s="196" t="str">
        <f t="shared" si="15"/>
        <v/>
      </c>
      <c r="U130" s="197" t="str">
        <f t="shared" si="16"/>
        <v/>
      </c>
      <c r="V130" s="198" t="str">
        <f t="shared" si="13"/>
        <v/>
      </c>
      <c r="W130" s="339" t="str">
        <f t="shared" si="17"/>
        <v/>
      </c>
      <c r="X130" s="341" t="str">
        <f t="shared" si="18"/>
        <v/>
      </c>
      <c r="Y130" s="277"/>
      <c r="AR130" t="str">
        <f t="shared" si="19"/>
        <v/>
      </c>
      <c r="AS130" t="str">
        <f t="shared" si="20"/>
        <v/>
      </c>
    </row>
    <row r="131" spans="1:45">
      <c r="A131" s="294"/>
      <c r="B131" s="295"/>
      <c r="C131" s="296"/>
      <c r="D131" s="296"/>
      <c r="E131" s="296"/>
      <c r="F131" s="296"/>
      <c r="G131" s="297"/>
      <c r="H131" s="303"/>
      <c r="I131" s="298"/>
      <c r="J131" s="298"/>
      <c r="K131" s="299"/>
      <c r="L131" s="304"/>
      <c r="M131" s="300"/>
      <c r="N131" s="301"/>
      <c r="P131" s="193" t="str">
        <f>IF(R131 = "", "", COUNT(R$4:$R131))</f>
        <v/>
      </c>
      <c r="Q131" s="193" t="str">
        <f t="shared" si="11"/>
        <v/>
      </c>
      <c r="R131" s="194" t="str">
        <f t="shared" si="12"/>
        <v/>
      </c>
      <c r="S131" s="195" t="str">
        <f t="shared" si="14"/>
        <v/>
      </c>
      <c r="T131" s="196" t="str">
        <f t="shared" si="15"/>
        <v/>
      </c>
      <c r="U131" s="197" t="str">
        <f t="shared" si="16"/>
        <v/>
      </c>
      <c r="V131" s="198" t="str">
        <f t="shared" si="13"/>
        <v/>
      </c>
      <c r="W131" s="339" t="str">
        <f t="shared" si="17"/>
        <v/>
      </c>
      <c r="X131" s="341" t="str">
        <f t="shared" si="18"/>
        <v/>
      </c>
      <c r="Y131" s="277"/>
      <c r="AR131" t="str">
        <f t="shared" si="19"/>
        <v/>
      </c>
      <c r="AS131" t="str">
        <f t="shared" si="20"/>
        <v/>
      </c>
    </row>
    <row r="132" spans="1:45">
      <c r="A132" s="294"/>
      <c r="B132" s="295"/>
      <c r="C132" s="296"/>
      <c r="D132" s="296"/>
      <c r="E132" s="296"/>
      <c r="F132" s="296"/>
      <c r="G132" s="297"/>
      <c r="H132" s="303"/>
      <c r="I132" s="298"/>
      <c r="J132" s="298"/>
      <c r="K132" s="299"/>
      <c r="L132" s="304"/>
      <c r="M132" s="300"/>
      <c r="N132" s="301"/>
      <c r="P132" s="193" t="str">
        <f>IF(R132 = "", "", COUNT(R$4:$R132))</f>
        <v/>
      </c>
      <c r="Q132" s="193" t="str">
        <f t="shared" ref="Q132:Q195" si="21">IF(C132 &gt; 0, YEAR(B132), "")</f>
        <v/>
      </c>
      <c r="R132" s="194" t="str">
        <f t="shared" ref="R132:R195" si="22">IF(A132="", "", IF(G132="",1,IF(G132="O",1,IF(G132="C",8.4,IF(G132="B",8.4,IF(G132="A",76.8,IF(G132="K",76.8,"ERR")))))))</f>
        <v/>
      </c>
      <c r="S132" s="195" t="str">
        <f t="shared" si="14"/>
        <v/>
      </c>
      <c r="T132" s="196" t="str">
        <f t="shared" si="15"/>
        <v/>
      </c>
      <c r="U132" s="197" t="str">
        <f t="shared" si="16"/>
        <v/>
      </c>
      <c r="V132" s="198" t="str">
        <f t="shared" ref="V132:V195" si="23">IF(IF(M132&lt;&gt;"",G132,"")=0, "O", IF(M132&lt;&gt;"",G132,""))</f>
        <v/>
      </c>
      <c r="W132" s="339" t="str">
        <f t="shared" si="17"/>
        <v/>
      </c>
      <c r="X132" s="341" t="str">
        <f t="shared" si="18"/>
        <v/>
      </c>
      <c r="Y132" s="277"/>
      <c r="AR132" t="str">
        <f t="shared" si="19"/>
        <v/>
      </c>
      <c r="AS132" t="str">
        <f t="shared" si="20"/>
        <v/>
      </c>
    </row>
    <row r="133" spans="1:45">
      <c r="A133" s="294"/>
      <c r="B133" s="295"/>
      <c r="C133" s="296"/>
      <c r="D133" s="296"/>
      <c r="E133" s="296"/>
      <c r="F133" s="296"/>
      <c r="G133" s="297"/>
      <c r="H133" s="303"/>
      <c r="I133" s="298"/>
      <c r="J133" s="298"/>
      <c r="K133" s="299"/>
      <c r="L133" s="304"/>
      <c r="M133" s="300"/>
      <c r="N133" s="301"/>
      <c r="P133" s="193" t="str">
        <f>IF(R133 = "", "", COUNT(R$4:$R133))</f>
        <v/>
      </c>
      <c r="Q133" s="193" t="str">
        <f t="shared" si="21"/>
        <v/>
      </c>
      <c r="R133" s="194" t="str">
        <f t="shared" si="22"/>
        <v/>
      </c>
      <c r="S133" s="195" t="str">
        <f t="shared" ref="S133:S196" si="24">IF(L133&lt;&gt;"",R133,"")</f>
        <v/>
      </c>
      <c r="T133" s="196" t="str">
        <f t="shared" ref="T133:T196" si="25">IF(IF(L133&lt;&gt;"",G133,"")=0, "O", IF(L133&lt;&gt;"",G133,""))</f>
        <v/>
      </c>
      <c r="U133" s="197" t="str">
        <f t="shared" ref="U133:U196" si="26">IF(M133&lt;&gt;"",R133,"")</f>
        <v/>
      </c>
      <c r="V133" s="198" t="str">
        <f t="shared" si="23"/>
        <v/>
      </c>
      <c r="W133" s="339" t="str">
        <f t="shared" ref="W133:W196" si="27">IF(N133&lt;&gt;"",R133,"")</f>
        <v/>
      </c>
      <c r="X133" s="341" t="str">
        <f t="shared" ref="X133:X196" si="28">IF(IF(N133&lt;&gt;"",G133,"")=0, "O", IF(N133&lt;&gt;"",G133,""))</f>
        <v/>
      </c>
      <c r="Y133" s="277"/>
      <c r="AR133" t="str">
        <f t="shared" ref="AR133:AR196" si="29">IF(P133&gt;0, P133, "")</f>
        <v/>
      </c>
      <c r="AS133" t="str">
        <f t="shared" ref="AS133:AS196" si="30">IF(OR(L133="Y",M133="Y",N133="Y"),"Y","")</f>
        <v/>
      </c>
    </row>
    <row r="134" spans="1:45">
      <c r="A134" s="294"/>
      <c r="B134" s="295"/>
      <c r="C134" s="296"/>
      <c r="D134" s="296"/>
      <c r="E134" s="296"/>
      <c r="F134" s="296"/>
      <c r="G134" s="297"/>
      <c r="H134" s="303"/>
      <c r="I134" s="298"/>
      <c r="J134" s="298"/>
      <c r="K134" s="299"/>
      <c r="L134" s="304"/>
      <c r="M134" s="300"/>
      <c r="N134" s="301"/>
      <c r="P134" s="193" t="str">
        <f>IF(R134 = "", "", COUNT(R$4:$R134))</f>
        <v/>
      </c>
      <c r="Q134" s="193" t="str">
        <f t="shared" si="21"/>
        <v/>
      </c>
      <c r="R134" s="194" t="str">
        <f t="shared" si="22"/>
        <v/>
      </c>
      <c r="S134" s="195" t="str">
        <f t="shared" si="24"/>
        <v/>
      </c>
      <c r="T134" s="196" t="str">
        <f t="shared" si="25"/>
        <v/>
      </c>
      <c r="U134" s="197" t="str">
        <f t="shared" si="26"/>
        <v/>
      </c>
      <c r="V134" s="198" t="str">
        <f t="shared" si="23"/>
        <v/>
      </c>
      <c r="W134" s="339" t="str">
        <f t="shared" si="27"/>
        <v/>
      </c>
      <c r="X134" s="341" t="str">
        <f t="shared" si="28"/>
        <v/>
      </c>
      <c r="Y134" s="277"/>
      <c r="AR134" t="str">
        <f t="shared" si="29"/>
        <v/>
      </c>
      <c r="AS134" t="str">
        <f t="shared" si="30"/>
        <v/>
      </c>
    </row>
    <row r="135" spans="1:45">
      <c r="A135" s="294"/>
      <c r="B135" s="295"/>
      <c r="C135" s="296"/>
      <c r="D135" s="296"/>
      <c r="E135" s="296"/>
      <c r="F135" s="296"/>
      <c r="G135" s="297"/>
      <c r="H135" s="303"/>
      <c r="I135" s="298"/>
      <c r="J135" s="298"/>
      <c r="K135" s="299"/>
      <c r="L135" s="304"/>
      <c r="M135" s="300"/>
      <c r="N135" s="301"/>
      <c r="P135" s="193" t="str">
        <f>IF(R135 = "", "", COUNT(R$4:$R135))</f>
        <v/>
      </c>
      <c r="Q135" s="193" t="str">
        <f t="shared" si="21"/>
        <v/>
      </c>
      <c r="R135" s="194" t="str">
        <f t="shared" si="22"/>
        <v/>
      </c>
      <c r="S135" s="195" t="str">
        <f t="shared" si="24"/>
        <v/>
      </c>
      <c r="T135" s="196" t="str">
        <f t="shared" si="25"/>
        <v/>
      </c>
      <c r="U135" s="197" t="str">
        <f t="shared" si="26"/>
        <v/>
      </c>
      <c r="V135" s="198" t="str">
        <f t="shared" si="23"/>
        <v/>
      </c>
      <c r="W135" s="339" t="str">
        <f t="shared" si="27"/>
        <v/>
      </c>
      <c r="X135" s="341" t="str">
        <f t="shared" si="28"/>
        <v/>
      </c>
      <c r="Y135" s="277"/>
      <c r="AR135" t="str">
        <f t="shared" si="29"/>
        <v/>
      </c>
      <c r="AS135" t="str">
        <f t="shared" si="30"/>
        <v/>
      </c>
    </row>
    <row r="136" spans="1:45">
      <c r="A136" s="294"/>
      <c r="B136" s="295"/>
      <c r="C136" s="296"/>
      <c r="D136" s="296"/>
      <c r="E136" s="296"/>
      <c r="F136" s="296"/>
      <c r="G136" s="297"/>
      <c r="H136" s="303"/>
      <c r="I136" s="298"/>
      <c r="J136" s="298"/>
      <c r="K136" s="299"/>
      <c r="L136" s="304"/>
      <c r="M136" s="300"/>
      <c r="N136" s="301"/>
      <c r="P136" s="193" t="str">
        <f>IF(R136 = "", "", COUNT(R$4:$R136))</f>
        <v/>
      </c>
      <c r="Q136" s="193" t="str">
        <f t="shared" si="21"/>
        <v/>
      </c>
      <c r="R136" s="194" t="str">
        <f t="shared" si="22"/>
        <v/>
      </c>
      <c r="S136" s="195" t="str">
        <f t="shared" si="24"/>
        <v/>
      </c>
      <c r="T136" s="196" t="str">
        <f t="shared" si="25"/>
        <v/>
      </c>
      <c r="U136" s="197" t="str">
        <f t="shared" si="26"/>
        <v/>
      </c>
      <c r="V136" s="198" t="str">
        <f t="shared" si="23"/>
        <v/>
      </c>
      <c r="W136" s="339" t="str">
        <f t="shared" si="27"/>
        <v/>
      </c>
      <c r="X136" s="341" t="str">
        <f t="shared" si="28"/>
        <v/>
      </c>
      <c r="Y136" s="277"/>
      <c r="AR136" t="str">
        <f t="shared" si="29"/>
        <v/>
      </c>
      <c r="AS136" t="str">
        <f t="shared" si="30"/>
        <v/>
      </c>
    </row>
    <row r="137" spans="1:45">
      <c r="A137" s="294"/>
      <c r="B137" s="295"/>
      <c r="C137" s="296"/>
      <c r="D137" s="296"/>
      <c r="E137" s="296"/>
      <c r="F137" s="296"/>
      <c r="G137" s="297"/>
      <c r="H137" s="303"/>
      <c r="I137" s="298"/>
      <c r="J137" s="298"/>
      <c r="K137" s="299"/>
      <c r="L137" s="304"/>
      <c r="M137" s="300"/>
      <c r="N137" s="301"/>
      <c r="P137" s="193" t="str">
        <f>IF(R137 = "", "", COUNT(R$4:$R137))</f>
        <v/>
      </c>
      <c r="Q137" s="193" t="str">
        <f t="shared" si="21"/>
        <v/>
      </c>
      <c r="R137" s="194" t="str">
        <f t="shared" si="22"/>
        <v/>
      </c>
      <c r="S137" s="195" t="str">
        <f t="shared" si="24"/>
        <v/>
      </c>
      <c r="T137" s="196" t="str">
        <f t="shared" si="25"/>
        <v/>
      </c>
      <c r="U137" s="197" t="str">
        <f t="shared" si="26"/>
        <v/>
      </c>
      <c r="V137" s="198" t="str">
        <f t="shared" si="23"/>
        <v/>
      </c>
      <c r="W137" s="339" t="str">
        <f t="shared" si="27"/>
        <v/>
      </c>
      <c r="X137" s="341" t="str">
        <f t="shared" si="28"/>
        <v/>
      </c>
      <c r="Y137" s="277"/>
      <c r="AR137" t="str">
        <f t="shared" si="29"/>
        <v/>
      </c>
      <c r="AS137" t="str">
        <f t="shared" si="30"/>
        <v/>
      </c>
    </row>
    <row r="138" spans="1:45">
      <c r="A138" s="294"/>
      <c r="B138" s="295"/>
      <c r="C138" s="296"/>
      <c r="D138" s="296"/>
      <c r="E138" s="296"/>
      <c r="F138" s="296"/>
      <c r="G138" s="297"/>
      <c r="H138" s="303"/>
      <c r="I138" s="298"/>
      <c r="J138" s="298"/>
      <c r="K138" s="299"/>
      <c r="L138" s="304"/>
      <c r="M138" s="300"/>
      <c r="N138" s="301"/>
      <c r="P138" s="193" t="str">
        <f>IF(R138 = "", "", COUNT(R$4:$R138))</f>
        <v/>
      </c>
      <c r="Q138" s="193" t="str">
        <f t="shared" si="21"/>
        <v/>
      </c>
      <c r="R138" s="194" t="str">
        <f t="shared" si="22"/>
        <v/>
      </c>
      <c r="S138" s="195" t="str">
        <f t="shared" si="24"/>
        <v/>
      </c>
      <c r="T138" s="196" t="str">
        <f t="shared" si="25"/>
        <v/>
      </c>
      <c r="U138" s="197" t="str">
        <f t="shared" si="26"/>
        <v/>
      </c>
      <c r="V138" s="198" t="str">
        <f t="shared" si="23"/>
        <v/>
      </c>
      <c r="W138" s="339" t="str">
        <f t="shared" si="27"/>
        <v/>
      </c>
      <c r="X138" s="341" t="str">
        <f t="shared" si="28"/>
        <v/>
      </c>
      <c r="Y138" s="277"/>
      <c r="AR138" t="str">
        <f t="shared" si="29"/>
        <v/>
      </c>
      <c r="AS138" t="str">
        <f t="shared" si="30"/>
        <v/>
      </c>
    </row>
    <row r="139" spans="1:45">
      <c r="A139" s="294"/>
      <c r="B139" s="295"/>
      <c r="C139" s="296"/>
      <c r="D139" s="296"/>
      <c r="E139" s="296"/>
      <c r="F139" s="296"/>
      <c r="G139" s="297"/>
      <c r="H139" s="303"/>
      <c r="I139" s="298"/>
      <c r="J139" s="298"/>
      <c r="K139" s="299"/>
      <c r="L139" s="304"/>
      <c r="M139" s="300"/>
      <c r="N139" s="301"/>
      <c r="P139" s="193" t="str">
        <f>IF(R139 = "", "", COUNT(R$4:$R139))</f>
        <v/>
      </c>
      <c r="Q139" s="193" t="str">
        <f t="shared" si="21"/>
        <v/>
      </c>
      <c r="R139" s="194" t="str">
        <f t="shared" si="22"/>
        <v/>
      </c>
      <c r="S139" s="195" t="str">
        <f t="shared" si="24"/>
        <v/>
      </c>
      <c r="T139" s="196" t="str">
        <f t="shared" si="25"/>
        <v/>
      </c>
      <c r="U139" s="197" t="str">
        <f t="shared" si="26"/>
        <v/>
      </c>
      <c r="V139" s="198" t="str">
        <f t="shared" si="23"/>
        <v/>
      </c>
      <c r="W139" s="339" t="str">
        <f t="shared" si="27"/>
        <v/>
      </c>
      <c r="X139" s="341" t="str">
        <f t="shared" si="28"/>
        <v/>
      </c>
      <c r="Y139" s="277"/>
      <c r="AR139" t="str">
        <f t="shared" si="29"/>
        <v/>
      </c>
      <c r="AS139" t="str">
        <f t="shared" si="30"/>
        <v/>
      </c>
    </row>
    <row r="140" spans="1:45">
      <c r="A140" s="294"/>
      <c r="B140" s="295"/>
      <c r="C140" s="296"/>
      <c r="D140" s="296"/>
      <c r="E140" s="296"/>
      <c r="F140" s="296"/>
      <c r="G140" s="297"/>
      <c r="H140" s="303"/>
      <c r="I140" s="298"/>
      <c r="J140" s="298"/>
      <c r="K140" s="299"/>
      <c r="L140" s="304"/>
      <c r="M140" s="300"/>
      <c r="N140" s="301"/>
      <c r="P140" s="193" t="str">
        <f>IF(R140 = "", "", COUNT(R$4:$R140))</f>
        <v/>
      </c>
      <c r="Q140" s="193" t="str">
        <f t="shared" si="21"/>
        <v/>
      </c>
      <c r="R140" s="194" t="str">
        <f t="shared" si="22"/>
        <v/>
      </c>
      <c r="S140" s="195" t="str">
        <f t="shared" si="24"/>
        <v/>
      </c>
      <c r="T140" s="196" t="str">
        <f t="shared" si="25"/>
        <v/>
      </c>
      <c r="U140" s="197" t="str">
        <f t="shared" si="26"/>
        <v/>
      </c>
      <c r="V140" s="198" t="str">
        <f t="shared" si="23"/>
        <v/>
      </c>
      <c r="W140" s="339" t="str">
        <f t="shared" si="27"/>
        <v/>
      </c>
      <c r="X140" s="341" t="str">
        <f t="shared" si="28"/>
        <v/>
      </c>
      <c r="Y140" s="277"/>
      <c r="AR140" t="str">
        <f t="shared" si="29"/>
        <v/>
      </c>
      <c r="AS140" t="str">
        <f t="shared" si="30"/>
        <v/>
      </c>
    </row>
    <row r="141" spans="1:45">
      <c r="A141" s="294"/>
      <c r="B141" s="295"/>
      <c r="C141" s="296"/>
      <c r="D141" s="296"/>
      <c r="E141" s="296"/>
      <c r="F141" s="296"/>
      <c r="G141" s="297"/>
      <c r="H141" s="303"/>
      <c r="I141" s="298"/>
      <c r="J141" s="298"/>
      <c r="K141" s="299"/>
      <c r="L141" s="304"/>
      <c r="M141" s="300"/>
      <c r="N141" s="301"/>
      <c r="P141" s="193" t="str">
        <f>IF(R141 = "", "", COUNT(R$4:$R141))</f>
        <v/>
      </c>
      <c r="Q141" s="193" t="str">
        <f t="shared" si="21"/>
        <v/>
      </c>
      <c r="R141" s="194" t="str">
        <f t="shared" si="22"/>
        <v/>
      </c>
      <c r="S141" s="195" t="str">
        <f t="shared" si="24"/>
        <v/>
      </c>
      <c r="T141" s="196" t="str">
        <f t="shared" si="25"/>
        <v/>
      </c>
      <c r="U141" s="197" t="str">
        <f t="shared" si="26"/>
        <v/>
      </c>
      <c r="V141" s="198" t="str">
        <f t="shared" si="23"/>
        <v/>
      </c>
      <c r="W141" s="339" t="str">
        <f t="shared" si="27"/>
        <v/>
      </c>
      <c r="X141" s="341" t="str">
        <f t="shared" si="28"/>
        <v/>
      </c>
      <c r="Y141" s="277"/>
      <c r="AR141" t="str">
        <f t="shared" si="29"/>
        <v/>
      </c>
      <c r="AS141" t="str">
        <f t="shared" si="30"/>
        <v/>
      </c>
    </row>
    <row r="142" spans="1:45">
      <c r="A142" s="294"/>
      <c r="B142" s="295"/>
      <c r="C142" s="296"/>
      <c r="D142" s="296"/>
      <c r="E142" s="296"/>
      <c r="F142" s="296"/>
      <c r="G142" s="297"/>
      <c r="H142" s="303"/>
      <c r="I142" s="298"/>
      <c r="J142" s="298"/>
      <c r="K142" s="299"/>
      <c r="L142" s="304"/>
      <c r="M142" s="300"/>
      <c r="N142" s="301"/>
      <c r="P142" s="193" t="str">
        <f>IF(R142 = "", "", COUNT(R$4:$R142))</f>
        <v/>
      </c>
      <c r="Q142" s="193" t="str">
        <f t="shared" si="21"/>
        <v/>
      </c>
      <c r="R142" s="194" t="str">
        <f t="shared" si="22"/>
        <v/>
      </c>
      <c r="S142" s="195" t="str">
        <f t="shared" si="24"/>
        <v/>
      </c>
      <c r="T142" s="196" t="str">
        <f t="shared" si="25"/>
        <v/>
      </c>
      <c r="U142" s="197" t="str">
        <f t="shared" si="26"/>
        <v/>
      </c>
      <c r="V142" s="198" t="str">
        <f t="shared" si="23"/>
        <v/>
      </c>
      <c r="W142" s="339" t="str">
        <f t="shared" si="27"/>
        <v/>
      </c>
      <c r="X142" s="341" t="str">
        <f t="shared" si="28"/>
        <v/>
      </c>
      <c r="Y142" s="277"/>
      <c r="AR142" t="str">
        <f t="shared" si="29"/>
        <v/>
      </c>
      <c r="AS142" t="str">
        <f t="shared" si="30"/>
        <v/>
      </c>
    </row>
    <row r="143" spans="1:45">
      <c r="A143" s="294"/>
      <c r="B143" s="295"/>
      <c r="C143" s="296"/>
      <c r="D143" s="296"/>
      <c r="E143" s="296"/>
      <c r="F143" s="296"/>
      <c r="G143" s="297"/>
      <c r="H143" s="303"/>
      <c r="I143" s="298"/>
      <c r="J143" s="298"/>
      <c r="K143" s="299"/>
      <c r="L143" s="304"/>
      <c r="M143" s="300"/>
      <c r="N143" s="301"/>
      <c r="P143" s="193" t="str">
        <f>IF(R143 = "", "", COUNT(R$4:$R143))</f>
        <v/>
      </c>
      <c r="Q143" s="193" t="str">
        <f t="shared" si="21"/>
        <v/>
      </c>
      <c r="R143" s="194" t="str">
        <f t="shared" si="22"/>
        <v/>
      </c>
      <c r="S143" s="195" t="str">
        <f t="shared" si="24"/>
        <v/>
      </c>
      <c r="T143" s="196" t="str">
        <f t="shared" si="25"/>
        <v/>
      </c>
      <c r="U143" s="197" t="str">
        <f t="shared" si="26"/>
        <v/>
      </c>
      <c r="V143" s="198" t="str">
        <f t="shared" si="23"/>
        <v/>
      </c>
      <c r="W143" s="339" t="str">
        <f t="shared" si="27"/>
        <v/>
      </c>
      <c r="X143" s="341" t="str">
        <f t="shared" si="28"/>
        <v/>
      </c>
      <c r="Y143" s="277"/>
      <c r="AR143" t="str">
        <f t="shared" si="29"/>
        <v/>
      </c>
      <c r="AS143" t="str">
        <f t="shared" si="30"/>
        <v/>
      </c>
    </row>
    <row r="144" spans="1:45">
      <c r="A144" s="294"/>
      <c r="B144" s="295"/>
      <c r="C144" s="296"/>
      <c r="D144" s="296"/>
      <c r="E144" s="296"/>
      <c r="F144" s="296"/>
      <c r="G144" s="297"/>
      <c r="H144" s="303"/>
      <c r="I144" s="298"/>
      <c r="J144" s="298"/>
      <c r="K144" s="299"/>
      <c r="L144" s="304"/>
      <c r="M144" s="300"/>
      <c r="N144" s="301"/>
      <c r="P144" s="193" t="str">
        <f>IF(R144 = "", "", COUNT(R$4:$R144))</f>
        <v/>
      </c>
      <c r="Q144" s="193" t="str">
        <f t="shared" si="21"/>
        <v/>
      </c>
      <c r="R144" s="194" t="str">
        <f t="shared" si="22"/>
        <v/>
      </c>
      <c r="S144" s="195" t="str">
        <f t="shared" si="24"/>
        <v/>
      </c>
      <c r="T144" s="196" t="str">
        <f t="shared" si="25"/>
        <v/>
      </c>
      <c r="U144" s="197" t="str">
        <f t="shared" si="26"/>
        <v/>
      </c>
      <c r="V144" s="198" t="str">
        <f t="shared" si="23"/>
        <v/>
      </c>
      <c r="W144" s="339" t="str">
        <f t="shared" si="27"/>
        <v/>
      </c>
      <c r="X144" s="341" t="str">
        <f t="shared" si="28"/>
        <v/>
      </c>
      <c r="Y144" s="277"/>
      <c r="AR144" t="str">
        <f t="shared" si="29"/>
        <v/>
      </c>
      <c r="AS144" t="str">
        <f t="shared" si="30"/>
        <v/>
      </c>
    </row>
    <row r="145" spans="1:45">
      <c r="A145" s="294"/>
      <c r="B145" s="295"/>
      <c r="C145" s="296"/>
      <c r="D145" s="296"/>
      <c r="E145" s="296"/>
      <c r="F145" s="296"/>
      <c r="G145" s="297"/>
      <c r="H145" s="303"/>
      <c r="I145" s="298"/>
      <c r="J145" s="298"/>
      <c r="K145" s="299"/>
      <c r="L145" s="304"/>
      <c r="M145" s="300"/>
      <c r="N145" s="301"/>
      <c r="P145" s="193" t="str">
        <f>IF(R145 = "", "", COUNT(R$4:$R145))</f>
        <v/>
      </c>
      <c r="Q145" s="193" t="str">
        <f t="shared" si="21"/>
        <v/>
      </c>
      <c r="R145" s="194" t="str">
        <f t="shared" si="22"/>
        <v/>
      </c>
      <c r="S145" s="195" t="str">
        <f t="shared" si="24"/>
        <v/>
      </c>
      <c r="T145" s="196" t="str">
        <f t="shared" si="25"/>
        <v/>
      </c>
      <c r="U145" s="197" t="str">
        <f t="shared" si="26"/>
        <v/>
      </c>
      <c r="V145" s="198" t="str">
        <f t="shared" si="23"/>
        <v/>
      </c>
      <c r="W145" s="339" t="str">
        <f t="shared" si="27"/>
        <v/>
      </c>
      <c r="X145" s="341" t="str">
        <f t="shared" si="28"/>
        <v/>
      </c>
      <c r="Y145" s="277"/>
      <c r="AR145" t="str">
        <f t="shared" si="29"/>
        <v/>
      </c>
      <c r="AS145" t="str">
        <f t="shared" si="30"/>
        <v/>
      </c>
    </row>
    <row r="146" spans="1:45">
      <c r="A146" s="294"/>
      <c r="B146" s="295"/>
      <c r="C146" s="296"/>
      <c r="D146" s="296"/>
      <c r="E146" s="296"/>
      <c r="F146" s="296"/>
      <c r="G146" s="297"/>
      <c r="H146" s="303"/>
      <c r="I146" s="298"/>
      <c r="J146" s="298"/>
      <c r="K146" s="299"/>
      <c r="L146" s="304"/>
      <c r="M146" s="300"/>
      <c r="N146" s="301"/>
      <c r="P146" s="193" t="str">
        <f>IF(R146 = "", "", COUNT(R$4:$R146))</f>
        <v/>
      </c>
      <c r="Q146" s="193" t="str">
        <f t="shared" si="21"/>
        <v/>
      </c>
      <c r="R146" s="194" t="str">
        <f t="shared" si="22"/>
        <v/>
      </c>
      <c r="S146" s="195" t="str">
        <f t="shared" si="24"/>
        <v/>
      </c>
      <c r="T146" s="196" t="str">
        <f t="shared" si="25"/>
        <v/>
      </c>
      <c r="U146" s="197" t="str">
        <f t="shared" si="26"/>
        <v/>
      </c>
      <c r="V146" s="198" t="str">
        <f t="shared" si="23"/>
        <v/>
      </c>
      <c r="W146" s="339" t="str">
        <f t="shared" si="27"/>
        <v/>
      </c>
      <c r="X146" s="341" t="str">
        <f t="shared" si="28"/>
        <v/>
      </c>
      <c r="Y146" s="277"/>
      <c r="AR146" t="str">
        <f t="shared" si="29"/>
        <v/>
      </c>
      <c r="AS146" t="str">
        <f t="shared" si="30"/>
        <v/>
      </c>
    </row>
    <row r="147" spans="1:45">
      <c r="A147" s="294"/>
      <c r="B147" s="295"/>
      <c r="C147" s="296"/>
      <c r="D147" s="296"/>
      <c r="E147" s="296"/>
      <c r="F147" s="296"/>
      <c r="G147" s="297"/>
      <c r="H147" s="303"/>
      <c r="I147" s="298"/>
      <c r="J147" s="298"/>
      <c r="K147" s="299"/>
      <c r="L147" s="304"/>
      <c r="M147" s="300"/>
      <c r="N147" s="301"/>
      <c r="P147" s="193" t="str">
        <f>IF(R147 = "", "", COUNT(R$4:$R147))</f>
        <v/>
      </c>
      <c r="Q147" s="193" t="str">
        <f t="shared" si="21"/>
        <v/>
      </c>
      <c r="R147" s="194" t="str">
        <f t="shared" si="22"/>
        <v/>
      </c>
      <c r="S147" s="195" t="str">
        <f t="shared" si="24"/>
        <v/>
      </c>
      <c r="T147" s="196" t="str">
        <f t="shared" si="25"/>
        <v/>
      </c>
      <c r="U147" s="197" t="str">
        <f t="shared" si="26"/>
        <v/>
      </c>
      <c r="V147" s="198" t="str">
        <f t="shared" si="23"/>
        <v/>
      </c>
      <c r="W147" s="339" t="str">
        <f t="shared" si="27"/>
        <v/>
      </c>
      <c r="X147" s="341" t="str">
        <f t="shared" si="28"/>
        <v/>
      </c>
      <c r="Y147" s="277"/>
      <c r="AR147" t="str">
        <f t="shared" si="29"/>
        <v/>
      </c>
      <c r="AS147" t="str">
        <f t="shared" si="30"/>
        <v/>
      </c>
    </row>
    <row r="148" spans="1:45">
      <c r="A148" s="294"/>
      <c r="B148" s="295"/>
      <c r="C148" s="296"/>
      <c r="D148" s="296"/>
      <c r="E148" s="296"/>
      <c r="F148" s="296"/>
      <c r="G148" s="297"/>
      <c r="H148" s="303"/>
      <c r="I148" s="298"/>
      <c r="J148" s="298"/>
      <c r="K148" s="299"/>
      <c r="L148" s="304"/>
      <c r="M148" s="300"/>
      <c r="N148" s="301"/>
      <c r="P148" s="193" t="str">
        <f>IF(R148 = "", "", COUNT(R$4:$R148))</f>
        <v/>
      </c>
      <c r="Q148" s="193" t="str">
        <f t="shared" si="21"/>
        <v/>
      </c>
      <c r="R148" s="194" t="str">
        <f t="shared" si="22"/>
        <v/>
      </c>
      <c r="S148" s="195" t="str">
        <f t="shared" si="24"/>
        <v/>
      </c>
      <c r="T148" s="196" t="str">
        <f t="shared" si="25"/>
        <v/>
      </c>
      <c r="U148" s="197" t="str">
        <f t="shared" si="26"/>
        <v/>
      </c>
      <c r="V148" s="198" t="str">
        <f t="shared" si="23"/>
        <v/>
      </c>
      <c r="W148" s="339" t="str">
        <f t="shared" si="27"/>
        <v/>
      </c>
      <c r="X148" s="341" t="str">
        <f t="shared" si="28"/>
        <v/>
      </c>
      <c r="Y148" s="277"/>
      <c r="AR148" t="str">
        <f t="shared" si="29"/>
        <v/>
      </c>
      <c r="AS148" t="str">
        <f t="shared" si="30"/>
        <v/>
      </c>
    </row>
    <row r="149" spans="1:45">
      <c r="A149" s="294"/>
      <c r="B149" s="295"/>
      <c r="C149" s="296"/>
      <c r="D149" s="296"/>
      <c r="E149" s="296"/>
      <c r="F149" s="296"/>
      <c r="G149" s="297"/>
      <c r="H149" s="303"/>
      <c r="I149" s="298"/>
      <c r="J149" s="298"/>
      <c r="K149" s="299"/>
      <c r="L149" s="304"/>
      <c r="M149" s="300"/>
      <c r="N149" s="301"/>
      <c r="P149" s="193" t="str">
        <f>IF(R149 = "", "", COUNT(R$4:$R149))</f>
        <v/>
      </c>
      <c r="Q149" s="193" t="str">
        <f t="shared" si="21"/>
        <v/>
      </c>
      <c r="R149" s="194" t="str">
        <f t="shared" si="22"/>
        <v/>
      </c>
      <c r="S149" s="195" t="str">
        <f t="shared" si="24"/>
        <v/>
      </c>
      <c r="T149" s="196" t="str">
        <f t="shared" si="25"/>
        <v/>
      </c>
      <c r="U149" s="197" t="str">
        <f t="shared" si="26"/>
        <v/>
      </c>
      <c r="V149" s="198" t="str">
        <f t="shared" si="23"/>
        <v/>
      </c>
      <c r="W149" s="339" t="str">
        <f t="shared" si="27"/>
        <v/>
      </c>
      <c r="X149" s="341" t="str">
        <f t="shared" si="28"/>
        <v/>
      </c>
      <c r="Y149" s="277"/>
      <c r="AR149" t="str">
        <f t="shared" si="29"/>
        <v/>
      </c>
      <c r="AS149" t="str">
        <f t="shared" si="30"/>
        <v/>
      </c>
    </row>
    <row r="150" spans="1:45">
      <c r="A150" s="294"/>
      <c r="B150" s="295"/>
      <c r="C150" s="296"/>
      <c r="D150" s="296"/>
      <c r="E150" s="296"/>
      <c r="F150" s="296"/>
      <c r="G150" s="297"/>
      <c r="H150" s="303"/>
      <c r="I150" s="298"/>
      <c r="J150" s="298"/>
      <c r="K150" s="299"/>
      <c r="L150" s="304"/>
      <c r="M150" s="300"/>
      <c r="N150" s="301"/>
      <c r="P150" s="193" t="str">
        <f>IF(R150 = "", "", COUNT(R$4:$R150))</f>
        <v/>
      </c>
      <c r="Q150" s="193" t="str">
        <f t="shared" si="21"/>
        <v/>
      </c>
      <c r="R150" s="194" t="str">
        <f t="shared" si="22"/>
        <v/>
      </c>
      <c r="S150" s="195" t="str">
        <f t="shared" si="24"/>
        <v/>
      </c>
      <c r="T150" s="196" t="str">
        <f t="shared" si="25"/>
        <v/>
      </c>
      <c r="U150" s="197" t="str">
        <f t="shared" si="26"/>
        <v/>
      </c>
      <c r="V150" s="198" t="str">
        <f t="shared" si="23"/>
        <v/>
      </c>
      <c r="W150" s="339" t="str">
        <f t="shared" si="27"/>
        <v/>
      </c>
      <c r="X150" s="341" t="str">
        <f t="shared" si="28"/>
        <v/>
      </c>
      <c r="Y150" s="277"/>
      <c r="AR150" t="str">
        <f t="shared" si="29"/>
        <v/>
      </c>
      <c r="AS150" t="str">
        <f t="shared" si="30"/>
        <v/>
      </c>
    </row>
    <row r="151" spans="1:45">
      <c r="A151" s="294"/>
      <c r="B151" s="295"/>
      <c r="C151" s="296"/>
      <c r="D151" s="296"/>
      <c r="E151" s="296"/>
      <c r="F151" s="296"/>
      <c r="G151" s="297"/>
      <c r="H151" s="303"/>
      <c r="I151" s="298"/>
      <c r="J151" s="298"/>
      <c r="K151" s="299"/>
      <c r="L151" s="304"/>
      <c r="M151" s="300"/>
      <c r="N151" s="301"/>
      <c r="P151" s="193" t="str">
        <f>IF(R151 = "", "", COUNT(R$4:$R151))</f>
        <v/>
      </c>
      <c r="Q151" s="193" t="str">
        <f t="shared" si="21"/>
        <v/>
      </c>
      <c r="R151" s="194" t="str">
        <f t="shared" si="22"/>
        <v/>
      </c>
      <c r="S151" s="195" t="str">
        <f t="shared" si="24"/>
        <v/>
      </c>
      <c r="T151" s="196" t="str">
        <f t="shared" si="25"/>
        <v/>
      </c>
      <c r="U151" s="197" t="str">
        <f t="shared" si="26"/>
        <v/>
      </c>
      <c r="V151" s="198" t="str">
        <f t="shared" si="23"/>
        <v/>
      </c>
      <c r="W151" s="339" t="str">
        <f t="shared" si="27"/>
        <v/>
      </c>
      <c r="X151" s="341" t="str">
        <f t="shared" si="28"/>
        <v/>
      </c>
      <c r="Y151" s="277"/>
      <c r="AR151" t="str">
        <f t="shared" si="29"/>
        <v/>
      </c>
      <c r="AS151" t="str">
        <f t="shared" si="30"/>
        <v/>
      </c>
    </row>
    <row r="152" spans="1:45">
      <c r="A152" s="294"/>
      <c r="B152" s="295"/>
      <c r="C152" s="296"/>
      <c r="D152" s="296"/>
      <c r="E152" s="296"/>
      <c r="F152" s="296"/>
      <c r="G152" s="297"/>
      <c r="H152" s="303"/>
      <c r="I152" s="298"/>
      <c r="J152" s="298"/>
      <c r="K152" s="299"/>
      <c r="L152" s="304"/>
      <c r="M152" s="300"/>
      <c r="N152" s="301"/>
      <c r="P152" s="193" t="str">
        <f>IF(R152 = "", "", COUNT(R$4:$R152))</f>
        <v/>
      </c>
      <c r="Q152" s="193" t="str">
        <f t="shared" si="21"/>
        <v/>
      </c>
      <c r="R152" s="194" t="str">
        <f t="shared" si="22"/>
        <v/>
      </c>
      <c r="S152" s="195" t="str">
        <f t="shared" si="24"/>
        <v/>
      </c>
      <c r="T152" s="196" t="str">
        <f t="shared" si="25"/>
        <v/>
      </c>
      <c r="U152" s="197" t="str">
        <f t="shared" si="26"/>
        <v/>
      </c>
      <c r="V152" s="198" t="str">
        <f t="shared" si="23"/>
        <v/>
      </c>
      <c r="W152" s="339" t="str">
        <f t="shared" si="27"/>
        <v/>
      </c>
      <c r="X152" s="341" t="str">
        <f t="shared" si="28"/>
        <v/>
      </c>
      <c r="Y152" s="277"/>
      <c r="AR152" t="str">
        <f t="shared" si="29"/>
        <v/>
      </c>
      <c r="AS152" t="str">
        <f t="shared" si="30"/>
        <v/>
      </c>
    </row>
    <row r="153" spans="1:45">
      <c r="A153" s="294"/>
      <c r="B153" s="295"/>
      <c r="C153" s="296"/>
      <c r="D153" s="296"/>
      <c r="E153" s="296"/>
      <c r="F153" s="296"/>
      <c r="G153" s="297"/>
      <c r="H153" s="303"/>
      <c r="I153" s="298"/>
      <c r="J153" s="298"/>
      <c r="K153" s="299"/>
      <c r="L153" s="304"/>
      <c r="M153" s="300"/>
      <c r="N153" s="301"/>
      <c r="P153" s="193" t="str">
        <f>IF(R153 = "", "", COUNT(R$4:$R153))</f>
        <v/>
      </c>
      <c r="Q153" s="193" t="str">
        <f t="shared" si="21"/>
        <v/>
      </c>
      <c r="R153" s="194" t="str">
        <f t="shared" si="22"/>
        <v/>
      </c>
      <c r="S153" s="195" t="str">
        <f t="shared" si="24"/>
        <v/>
      </c>
      <c r="T153" s="196" t="str">
        <f t="shared" si="25"/>
        <v/>
      </c>
      <c r="U153" s="197" t="str">
        <f t="shared" si="26"/>
        <v/>
      </c>
      <c r="V153" s="198" t="str">
        <f t="shared" si="23"/>
        <v/>
      </c>
      <c r="W153" s="339" t="str">
        <f t="shared" si="27"/>
        <v/>
      </c>
      <c r="X153" s="341" t="str">
        <f t="shared" si="28"/>
        <v/>
      </c>
      <c r="Y153" s="277"/>
      <c r="AR153" t="str">
        <f t="shared" si="29"/>
        <v/>
      </c>
      <c r="AS153" t="str">
        <f t="shared" si="30"/>
        <v/>
      </c>
    </row>
    <row r="154" spans="1:45">
      <c r="A154" s="294"/>
      <c r="B154" s="295"/>
      <c r="C154" s="296"/>
      <c r="D154" s="296"/>
      <c r="E154" s="296"/>
      <c r="F154" s="296"/>
      <c r="G154" s="297"/>
      <c r="H154" s="303"/>
      <c r="I154" s="298"/>
      <c r="J154" s="298"/>
      <c r="K154" s="299"/>
      <c r="L154" s="304"/>
      <c r="M154" s="300"/>
      <c r="N154" s="301"/>
      <c r="P154" s="193" t="str">
        <f>IF(R154 = "", "", COUNT(R$4:$R154))</f>
        <v/>
      </c>
      <c r="Q154" s="193" t="str">
        <f t="shared" si="21"/>
        <v/>
      </c>
      <c r="R154" s="194" t="str">
        <f t="shared" si="22"/>
        <v/>
      </c>
      <c r="S154" s="195" t="str">
        <f t="shared" si="24"/>
        <v/>
      </c>
      <c r="T154" s="196" t="str">
        <f t="shared" si="25"/>
        <v/>
      </c>
      <c r="U154" s="197" t="str">
        <f t="shared" si="26"/>
        <v/>
      </c>
      <c r="V154" s="198" t="str">
        <f t="shared" si="23"/>
        <v/>
      </c>
      <c r="W154" s="339" t="str">
        <f t="shared" si="27"/>
        <v/>
      </c>
      <c r="X154" s="341" t="str">
        <f t="shared" si="28"/>
        <v/>
      </c>
      <c r="Y154" s="277"/>
      <c r="AR154" t="str">
        <f t="shared" si="29"/>
        <v/>
      </c>
      <c r="AS154" t="str">
        <f t="shared" si="30"/>
        <v/>
      </c>
    </row>
    <row r="155" spans="1:45">
      <c r="A155" s="294"/>
      <c r="B155" s="295"/>
      <c r="C155" s="296"/>
      <c r="D155" s="296"/>
      <c r="E155" s="296"/>
      <c r="F155" s="296"/>
      <c r="G155" s="297"/>
      <c r="H155" s="303"/>
      <c r="I155" s="298"/>
      <c r="J155" s="298"/>
      <c r="K155" s="299"/>
      <c r="L155" s="304"/>
      <c r="M155" s="300"/>
      <c r="N155" s="301"/>
      <c r="P155" s="193" t="str">
        <f>IF(R155 = "", "", COUNT(R$4:$R155))</f>
        <v/>
      </c>
      <c r="Q155" s="193" t="str">
        <f t="shared" si="21"/>
        <v/>
      </c>
      <c r="R155" s="194" t="str">
        <f t="shared" si="22"/>
        <v/>
      </c>
      <c r="S155" s="195" t="str">
        <f t="shared" si="24"/>
        <v/>
      </c>
      <c r="T155" s="196" t="str">
        <f t="shared" si="25"/>
        <v/>
      </c>
      <c r="U155" s="197" t="str">
        <f t="shared" si="26"/>
        <v/>
      </c>
      <c r="V155" s="198" t="str">
        <f t="shared" si="23"/>
        <v/>
      </c>
      <c r="W155" s="339" t="str">
        <f t="shared" si="27"/>
        <v/>
      </c>
      <c r="X155" s="341" t="str">
        <f t="shared" si="28"/>
        <v/>
      </c>
      <c r="Y155" s="277"/>
      <c r="AR155" t="str">
        <f t="shared" si="29"/>
        <v/>
      </c>
      <c r="AS155" t="str">
        <f t="shared" si="30"/>
        <v/>
      </c>
    </row>
    <row r="156" spans="1:45">
      <c r="A156" s="294"/>
      <c r="B156" s="295"/>
      <c r="C156" s="296"/>
      <c r="D156" s="296"/>
      <c r="E156" s="296"/>
      <c r="F156" s="296"/>
      <c r="G156" s="297"/>
      <c r="H156" s="303"/>
      <c r="I156" s="298"/>
      <c r="J156" s="298"/>
      <c r="K156" s="299"/>
      <c r="L156" s="304"/>
      <c r="M156" s="300"/>
      <c r="N156" s="301"/>
      <c r="P156" s="193" t="str">
        <f>IF(R156 = "", "", COUNT(R$4:$R156))</f>
        <v/>
      </c>
      <c r="Q156" s="193" t="str">
        <f t="shared" si="21"/>
        <v/>
      </c>
      <c r="R156" s="194" t="str">
        <f t="shared" si="22"/>
        <v/>
      </c>
      <c r="S156" s="195" t="str">
        <f t="shared" si="24"/>
        <v/>
      </c>
      <c r="T156" s="196" t="str">
        <f t="shared" si="25"/>
        <v/>
      </c>
      <c r="U156" s="197" t="str">
        <f t="shared" si="26"/>
        <v/>
      </c>
      <c r="V156" s="198" t="str">
        <f t="shared" si="23"/>
        <v/>
      </c>
      <c r="W156" s="339" t="str">
        <f t="shared" si="27"/>
        <v/>
      </c>
      <c r="X156" s="341" t="str">
        <f t="shared" si="28"/>
        <v/>
      </c>
      <c r="Y156" s="277"/>
      <c r="AR156" t="str">
        <f t="shared" si="29"/>
        <v/>
      </c>
      <c r="AS156" t="str">
        <f t="shared" si="30"/>
        <v/>
      </c>
    </row>
    <row r="157" spans="1:45">
      <c r="A157" s="294"/>
      <c r="B157" s="295"/>
      <c r="C157" s="296"/>
      <c r="D157" s="296"/>
      <c r="E157" s="296"/>
      <c r="F157" s="296"/>
      <c r="G157" s="297"/>
      <c r="H157" s="303"/>
      <c r="I157" s="298"/>
      <c r="J157" s="298"/>
      <c r="K157" s="299"/>
      <c r="L157" s="304"/>
      <c r="M157" s="300"/>
      <c r="N157" s="301"/>
      <c r="P157" s="193" t="str">
        <f>IF(R157 = "", "", COUNT(R$4:$R157))</f>
        <v/>
      </c>
      <c r="Q157" s="193" t="str">
        <f t="shared" si="21"/>
        <v/>
      </c>
      <c r="R157" s="194" t="str">
        <f t="shared" si="22"/>
        <v/>
      </c>
      <c r="S157" s="195" t="str">
        <f t="shared" si="24"/>
        <v/>
      </c>
      <c r="T157" s="196" t="str">
        <f t="shared" si="25"/>
        <v/>
      </c>
      <c r="U157" s="197" t="str">
        <f t="shared" si="26"/>
        <v/>
      </c>
      <c r="V157" s="198" t="str">
        <f t="shared" si="23"/>
        <v/>
      </c>
      <c r="W157" s="339" t="str">
        <f t="shared" si="27"/>
        <v/>
      </c>
      <c r="X157" s="341" t="str">
        <f t="shared" si="28"/>
        <v/>
      </c>
      <c r="Y157" s="277"/>
      <c r="AR157" t="str">
        <f t="shared" si="29"/>
        <v/>
      </c>
      <c r="AS157" t="str">
        <f t="shared" si="30"/>
        <v/>
      </c>
    </row>
    <row r="158" spans="1:45">
      <c r="A158" s="294"/>
      <c r="B158" s="295"/>
      <c r="C158" s="296"/>
      <c r="D158" s="296"/>
      <c r="E158" s="296"/>
      <c r="F158" s="296"/>
      <c r="G158" s="297"/>
      <c r="H158" s="303"/>
      <c r="I158" s="298"/>
      <c r="J158" s="298"/>
      <c r="K158" s="299"/>
      <c r="L158" s="304"/>
      <c r="M158" s="300"/>
      <c r="N158" s="301"/>
      <c r="P158" s="193" t="str">
        <f>IF(R158 = "", "", COUNT(R$4:$R158))</f>
        <v/>
      </c>
      <c r="Q158" s="193" t="str">
        <f t="shared" si="21"/>
        <v/>
      </c>
      <c r="R158" s="194" t="str">
        <f t="shared" si="22"/>
        <v/>
      </c>
      <c r="S158" s="195" t="str">
        <f t="shared" si="24"/>
        <v/>
      </c>
      <c r="T158" s="196" t="str">
        <f t="shared" si="25"/>
        <v/>
      </c>
      <c r="U158" s="197" t="str">
        <f t="shared" si="26"/>
        <v/>
      </c>
      <c r="V158" s="198" t="str">
        <f t="shared" si="23"/>
        <v/>
      </c>
      <c r="W158" s="339" t="str">
        <f t="shared" si="27"/>
        <v/>
      </c>
      <c r="X158" s="341" t="str">
        <f t="shared" si="28"/>
        <v/>
      </c>
      <c r="Y158" s="277"/>
      <c r="AR158" t="str">
        <f t="shared" si="29"/>
        <v/>
      </c>
      <c r="AS158" t="str">
        <f t="shared" si="30"/>
        <v/>
      </c>
    </row>
    <row r="159" spans="1:45">
      <c r="A159" s="294"/>
      <c r="B159" s="295"/>
      <c r="C159" s="296"/>
      <c r="D159" s="296"/>
      <c r="E159" s="296"/>
      <c r="F159" s="296"/>
      <c r="G159" s="297"/>
      <c r="H159" s="303"/>
      <c r="I159" s="298"/>
      <c r="J159" s="298"/>
      <c r="K159" s="299"/>
      <c r="L159" s="304"/>
      <c r="M159" s="300"/>
      <c r="N159" s="301"/>
      <c r="P159" s="193" t="str">
        <f>IF(R159 = "", "", COUNT(R$4:$R159))</f>
        <v/>
      </c>
      <c r="Q159" s="193" t="str">
        <f t="shared" si="21"/>
        <v/>
      </c>
      <c r="R159" s="194" t="str">
        <f t="shared" si="22"/>
        <v/>
      </c>
      <c r="S159" s="195" t="str">
        <f t="shared" si="24"/>
        <v/>
      </c>
      <c r="T159" s="196" t="str">
        <f t="shared" si="25"/>
        <v/>
      </c>
      <c r="U159" s="197" t="str">
        <f t="shared" si="26"/>
        <v/>
      </c>
      <c r="V159" s="198" t="str">
        <f t="shared" si="23"/>
        <v/>
      </c>
      <c r="W159" s="339" t="str">
        <f t="shared" si="27"/>
        <v/>
      </c>
      <c r="X159" s="341" t="str">
        <f t="shared" si="28"/>
        <v/>
      </c>
      <c r="Y159" s="277"/>
      <c r="AR159" t="str">
        <f t="shared" si="29"/>
        <v/>
      </c>
      <c r="AS159" t="str">
        <f t="shared" si="30"/>
        <v/>
      </c>
    </row>
    <row r="160" spans="1:45">
      <c r="A160" s="294"/>
      <c r="B160" s="295"/>
      <c r="C160" s="296"/>
      <c r="D160" s="296"/>
      <c r="E160" s="296"/>
      <c r="F160" s="296"/>
      <c r="G160" s="297"/>
      <c r="H160" s="303"/>
      <c r="I160" s="298"/>
      <c r="J160" s="298"/>
      <c r="K160" s="299"/>
      <c r="L160" s="304"/>
      <c r="M160" s="300"/>
      <c r="N160" s="301"/>
      <c r="P160" s="193" t="str">
        <f>IF(R160 = "", "", COUNT(R$4:$R160))</f>
        <v/>
      </c>
      <c r="Q160" s="193" t="str">
        <f t="shared" si="21"/>
        <v/>
      </c>
      <c r="R160" s="194" t="str">
        <f t="shared" si="22"/>
        <v/>
      </c>
      <c r="S160" s="195" t="str">
        <f t="shared" si="24"/>
        <v/>
      </c>
      <c r="T160" s="196" t="str">
        <f t="shared" si="25"/>
        <v/>
      </c>
      <c r="U160" s="197" t="str">
        <f t="shared" si="26"/>
        <v/>
      </c>
      <c r="V160" s="198" t="str">
        <f t="shared" si="23"/>
        <v/>
      </c>
      <c r="W160" s="339" t="str">
        <f t="shared" si="27"/>
        <v/>
      </c>
      <c r="X160" s="341" t="str">
        <f t="shared" si="28"/>
        <v/>
      </c>
      <c r="Y160" s="277"/>
      <c r="AR160" t="str">
        <f t="shared" si="29"/>
        <v/>
      </c>
      <c r="AS160" t="str">
        <f t="shared" si="30"/>
        <v/>
      </c>
    </row>
    <row r="161" spans="1:45">
      <c r="A161" s="294"/>
      <c r="B161" s="295"/>
      <c r="C161" s="296"/>
      <c r="D161" s="296"/>
      <c r="E161" s="296"/>
      <c r="F161" s="296"/>
      <c r="G161" s="297"/>
      <c r="H161" s="303"/>
      <c r="I161" s="298"/>
      <c r="J161" s="298"/>
      <c r="K161" s="299"/>
      <c r="L161" s="304"/>
      <c r="M161" s="300"/>
      <c r="N161" s="301"/>
      <c r="P161" s="193" t="str">
        <f>IF(R161 = "", "", COUNT(R$4:$R161))</f>
        <v/>
      </c>
      <c r="Q161" s="193" t="str">
        <f t="shared" si="21"/>
        <v/>
      </c>
      <c r="R161" s="194" t="str">
        <f t="shared" si="22"/>
        <v/>
      </c>
      <c r="S161" s="195" t="str">
        <f t="shared" si="24"/>
        <v/>
      </c>
      <c r="T161" s="196" t="str">
        <f t="shared" si="25"/>
        <v/>
      </c>
      <c r="U161" s="197" t="str">
        <f t="shared" si="26"/>
        <v/>
      </c>
      <c r="V161" s="198" t="str">
        <f t="shared" si="23"/>
        <v/>
      </c>
      <c r="W161" s="339" t="str">
        <f t="shared" si="27"/>
        <v/>
      </c>
      <c r="X161" s="341" t="str">
        <f t="shared" si="28"/>
        <v/>
      </c>
      <c r="Y161" s="277"/>
      <c r="AR161" t="str">
        <f t="shared" si="29"/>
        <v/>
      </c>
      <c r="AS161" t="str">
        <f t="shared" si="30"/>
        <v/>
      </c>
    </row>
    <row r="162" spans="1:45">
      <c r="A162" s="294"/>
      <c r="B162" s="295"/>
      <c r="C162" s="296"/>
      <c r="D162" s="296"/>
      <c r="E162" s="296"/>
      <c r="F162" s="296"/>
      <c r="G162" s="297"/>
      <c r="H162" s="303"/>
      <c r="I162" s="298"/>
      <c r="J162" s="298"/>
      <c r="K162" s="299"/>
      <c r="L162" s="304"/>
      <c r="M162" s="300"/>
      <c r="N162" s="301"/>
      <c r="P162" s="193" t="str">
        <f>IF(R162 = "", "", COUNT(R$4:$R162))</f>
        <v/>
      </c>
      <c r="Q162" s="193" t="str">
        <f t="shared" si="21"/>
        <v/>
      </c>
      <c r="R162" s="194" t="str">
        <f t="shared" si="22"/>
        <v/>
      </c>
      <c r="S162" s="195" t="str">
        <f t="shared" si="24"/>
        <v/>
      </c>
      <c r="T162" s="196" t="str">
        <f t="shared" si="25"/>
        <v/>
      </c>
      <c r="U162" s="197" t="str">
        <f t="shared" si="26"/>
        <v/>
      </c>
      <c r="V162" s="198" t="str">
        <f t="shared" si="23"/>
        <v/>
      </c>
      <c r="W162" s="339" t="str">
        <f t="shared" si="27"/>
        <v/>
      </c>
      <c r="X162" s="341" t="str">
        <f t="shared" si="28"/>
        <v/>
      </c>
      <c r="Y162" s="277"/>
      <c r="AR162" t="str">
        <f t="shared" si="29"/>
        <v/>
      </c>
      <c r="AS162" t="str">
        <f t="shared" si="30"/>
        <v/>
      </c>
    </row>
    <row r="163" spans="1:45">
      <c r="A163" s="294"/>
      <c r="B163" s="295"/>
      <c r="C163" s="296"/>
      <c r="D163" s="296"/>
      <c r="E163" s="296"/>
      <c r="F163" s="296"/>
      <c r="G163" s="297"/>
      <c r="H163" s="303"/>
      <c r="I163" s="298"/>
      <c r="J163" s="298"/>
      <c r="K163" s="299"/>
      <c r="L163" s="304"/>
      <c r="M163" s="300"/>
      <c r="N163" s="301"/>
      <c r="P163" s="193" t="str">
        <f>IF(R163 = "", "", COUNT(R$4:$R163))</f>
        <v/>
      </c>
      <c r="Q163" s="193" t="str">
        <f t="shared" si="21"/>
        <v/>
      </c>
      <c r="R163" s="194" t="str">
        <f t="shared" si="22"/>
        <v/>
      </c>
      <c r="S163" s="195" t="str">
        <f t="shared" si="24"/>
        <v/>
      </c>
      <c r="T163" s="196" t="str">
        <f t="shared" si="25"/>
        <v/>
      </c>
      <c r="U163" s="197" t="str">
        <f t="shared" si="26"/>
        <v/>
      </c>
      <c r="V163" s="198" t="str">
        <f t="shared" si="23"/>
        <v/>
      </c>
      <c r="W163" s="339" t="str">
        <f t="shared" si="27"/>
        <v/>
      </c>
      <c r="X163" s="341" t="str">
        <f t="shared" si="28"/>
        <v/>
      </c>
      <c r="Y163" s="277"/>
      <c r="AR163" t="str">
        <f t="shared" si="29"/>
        <v/>
      </c>
      <c r="AS163" t="str">
        <f t="shared" si="30"/>
        <v/>
      </c>
    </row>
    <row r="164" spans="1:45">
      <c r="A164" s="294"/>
      <c r="B164" s="295"/>
      <c r="C164" s="296"/>
      <c r="D164" s="296"/>
      <c r="E164" s="296"/>
      <c r="F164" s="296"/>
      <c r="G164" s="297"/>
      <c r="H164" s="303"/>
      <c r="I164" s="298"/>
      <c r="J164" s="298"/>
      <c r="K164" s="299"/>
      <c r="L164" s="304"/>
      <c r="M164" s="300"/>
      <c r="N164" s="301"/>
      <c r="P164" s="193" t="str">
        <f>IF(R164 = "", "", COUNT(R$4:$R164))</f>
        <v/>
      </c>
      <c r="Q164" s="193" t="str">
        <f t="shared" si="21"/>
        <v/>
      </c>
      <c r="R164" s="194" t="str">
        <f t="shared" si="22"/>
        <v/>
      </c>
      <c r="S164" s="195" t="str">
        <f t="shared" si="24"/>
        <v/>
      </c>
      <c r="T164" s="196" t="str">
        <f t="shared" si="25"/>
        <v/>
      </c>
      <c r="U164" s="197" t="str">
        <f t="shared" si="26"/>
        <v/>
      </c>
      <c r="V164" s="198" t="str">
        <f t="shared" si="23"/>
        <v/>
      </c>
      <c r="W164" s="339" t="str">
        <f t="shared" si="27"/>
        <v/>
      </c>
      <c r="X164" s="341" t="str">
        <f t="shared" si="28"/>
        <v/>
      </c>
      <c r="Y164" s="277"/>
      <c r="AR164" t="str">
        <f t="shared" si="29"/>
        <v/>
      </c>
      <c r="AS164" t="str">
        <f t="shared" si="30"/>
        <v/>
      </c>
    </row>
    <row r="165" spans="1:45">
      <c r="A165" s="294"/>
      <c r="B165" s="295"/>
      <c r="C165" s="296"/>
      <c r="D165" s="296"/>
      <c r="E165" s="296"/>
      <c r="F165" s="296"/>
      <c r="G165" s="297"/>
      <c r="H165" s="303"/>
      <c r="I165" s="298"/>
      <c r="J165" s="298"/>
      <c r="K165" s="299"/>
      <c r="L165" s="304"/>
      <c r="M165" s="300"/>
      <c r="N165" s="301"/>
      <c r="P165" s="193" t="str">
        <f>IF(R165 = "", "", COUNT(R$4:$R165))</f>
        <v/>
      </c>
      <c r="Q165" s="193" t="str">
        <f t="shared" si="21"/>
        <v/>
      </c>
      <c r="R165" s="194" t="str">
        <f t="shared" si="22"/>
        <v/>
      </c>
      <c r="S165" s="195" t="str">
        <f t="shared" si="24"/>
        <v/>
      </c>
      <c r="T165" s="196" t="str">
        <f t="shared" si="25"/>
        <v/>
      </c>
      <c r="U165" s="197" t="str">
        <f t="shared" si="26"/>
        <v/>
      </c>
      <c r="V165" s="198" t="str">
        <f t="shared" si="23"/>
        <v/>
      </c>
      <c r="W165" s="339" t="str">
        <f t="shared" si="27"/>
        <v/>
      </c>
      <c r="X165" s="341" t="str">
        <f t="shared" si="28"/>
        <v/>
      </c>
      <c r="Y165" s="277"/>
      <c r="AR165" t="str">
        <f t="shared" si="29"/>
        <v/>
      </c>
      <c r="AS165" t="str">
        <f t="shared" si="30"/>
        <v/>
      </c>
    </row>
    <row r="166" spans="1:45">
      <c r="A166" s="294"/>
      <c r="B166" s="295"/>
      <c r="C166" s="296"/>
      <c r="D166" s="296"/>
      <c r="E166" s="296"/>
      <c r="F166" s="296"/>
      <c r="G166" s="297"/>
      <c r="H166" s="303"/>
      <c r="I166" s="298"/>
      <c r="J166" s="298"/>
      <c r="K166" s="299"/>
      <c r="L166" s="304"/>
      <c r="M166" s="300"/>
      <c r="N166" s="301"/>
      <c r="P166" s="193" t="str">
        <f>IF(R166 = "", "", COUNT(R$4:$R166))</f>
        <v/>
      </c>
      <c r="Q166" s="193" t="str">
        <f t="shared" si="21"/>
        <v/>
      </c>
      <c r="R166" s="194" t="str">
        <f t="shared" si="22"/>
        <v/>
      </c>
      <c r="S166" s="195" t="str">
        <f t="shared" si="24"/>
        <v/>
      </c>
      <c r="T166" s="196" t="str">
        <f t="shared" si="25"/>
        <v/>
      </c>
      <c r="U166" s="197" t="str">
        <f t="shared" si="26"/>
        <v/>
      </c>
      <c r="V166" s="198" t="str">
        <f t="shared" si="23"/>
        <v/>
      </c>
      <c r="W166" s="339" t="str">
        <f t="shared" si="27"/>
        <v/>
      </c>
      <c r="X166" s="341" t="str">
        <f t="shared" si="28"/>
        <v/>
      </c>
      <c r="Y166" s="277"/>
      <c r="AR166" t="str">
        <f t="shared" si="29"/>
        <v/>
      </c>
      <c r="AS166" t="str">
        <f t="shared" si="30"/>
        <v/>
      </c>
    </row>
    <row r="167" spans="1:45">
      <c r="A167" s="294"/>
      <c r="B167" s="295"/>
      <c r="C167" s="296"/>
      <c r="D167" s="296"/>
      <c r="E167" s="296"/>
      <c r="F167" s="296"/>
      <c r="G167" s="297"/>
      <c r="H167" s="303"/>
      <c r="I167" s="298"/>
      <c r="J167" s="298"/>
      <c r="K167" s="299"/>
      <c r="L167" s="304"/>
      <c r="M167" s="300"/>
      <c r="N167" s="301"/>
      <c r="P167" s="193" t="str">
        <f>IF(R167 = "", "", COUNT(R$4:$R167))</f>
        <v/>
      </c>
      <c r="Q167" s="193" t="str">
        <f t="shared" si="21"/>
        <v/>
      </c>
      <c r="R167" s="194" t="str">
        <f t="shared" si="22"/>
        <v/>
      </c>
      <c r="S167" s="195" t="str">
        <f t="shared" si="24"/>
        <v/>
      </c>
      <c r="T167" s="196" t="str">
        <f t="shared" si="25"/>
        <v/>
      </c>
      <c r="U167" s="197" t="str">
        <f t="shared" si="26"/>
        <v/>
      </c>
      <c r="V167" s="198" t="str">
        <f t="shared" si="23"/>
        <v/>
      </c>
      <c r="W167" s="339" t="str">
        <f t="shared" si="27"/>
        <v/>
      </c>
      <c r="X167" s="341" t="str">
        <f t="shared" si="28"/>
        <v/>
      </c>
      <c r="Y167" s="277"/>
      <c r="AR167" t="str">
        <f t="shared" si="29"/>
        <v/>
      </c>
      <c r="AS167" t="str">
        <f t="shared" si="30"/>
        <v/>
      </c>
    </row>
    <row r="168" spans="1:45">
      <c r="A168" s="294"/>
      <c r="B168" s="295"/>
      <c r="C168" s="296"/>
      <c r="D168" s="296"/>
      <c r="E168" s="296"/>
      <c r="F168" s="296"/>
      <c r="G168" s="297"/>
      <c r="H168" s="303"/>
      <c r="I168" s="298"/>
      <c r="J168" s="298"/>
      <c r="K168" s="299"/>
      <c r="L168" s="304"/>
      <c r="M168" s="300"/>
      <c r="N168" s="301"/>
      <c r="P168" s="193" t="str">
        <f>IF(R168 = "", "", COUNT(R$4:$R168))</f>
        <v/>
      </c>
      <c r="Q168" s="193" t="str">
        <f t="shared" si="21"/>
        <v/>
      </c>
      <c r="R168" s="194" t="str">
        <f t="shared" si="22"/>
        <v/>
      </c>
      <c r="S168" s="195" t="str">
        <f t="shared" si="24"/>
        <v/>
      </c>
      <c r="T168" s="196" t="str">
        <f t="shared" si="25"/>
        <v/>
      </c>
      <c r="U168" s="197" t="str">
        <f t="shared" si="26"/>
        <v/>
      </c>
      <c r="V168" s="198" t="str">
        <f t="shared" si="23"/>
        <v/>
      </c>
      <c r="W168" s="339" t="str">
        <f t="shared" si="27"/>
        <v/>
      </c>
      <c r="X168" s="341" t="str">
        <f t="shared" si="28"/>
        <v/>
      </c>
      <c r="Y168" s="277"/>
      <c r="AR168" t="str">
        <f t="shared" si="29"/>
        <v/>
      </c>
      <c r="AS168" t="str">
        <f t="shared" si="30"/>
        <v/>
      </c>
    </row>
    <row r="169" spans="1:45">
      <c r="A169" s="294"/>
      <c r="B169" s="295"/>
      <c r="C169" s="296"/>
      <c r="D169" s="296"/>
      <c r="E169" s="296"/>
      <c r="F169" s="296"/>
      <c r="G169" s="297"/>
      <c r="H169" s="303"/>
      <c r="I169" s="298"/>
      <c r="J169" s="298"/>
      <c r="K169" s="299"/>
      <c r="L169" s="304"/>
      <c r="M169" s="300"/>
      <c r="N169" s="301"/>
      <c r="P169" s="193" t="str">
        <f>IF(R169 = "", "", COUNT(R$4:$R169))</f>
        <v/>
      </c>
      <c r="Q169" s="193" t="str">
        <f t="shared" si="21"/>
        <v/>
      </c>
      <c r="R169" s="194" t="str">
        <f t="shared" si="22"/>
        <v/>
      </c>
      <c r="S169" s="195" t="str">
        <f t="shared" si="24"/>
        <v/>
      </c>
      <c r="T169" s="196" t="str">
        <f t="shared" si="25"/>
        <v/>
      </c>
      <c r="U169" s="197" t="str">
        <f t="shared" si="26"/>
        <v/>
      </c>
      <c r="V169" s="198" t="str">
        <f t="shared" si="23"/>
        <v/>
      </c>
      <c r="W169" s="339" t="str">
        <f t="shared" si="27"/>
        <v/>
      </c>
      <c r="X169" s="341" t="str">
        <f t="shared" si="28"/>
        <v/>
      </c>
      <c r="Y169" s="277"/>
      <c r="AR169" t="str">
        <f t="shared" si="29"/>
        <v/>
      </c>
      <c r="AS169" t="str">
        <f t="shared" si="30"/>
        <v/>
      </c>
    </row>
    <row r="170" spans="1:45">
      <c r="A170" s="294"/>
      <c r="B170" s="295"/>
      <c r="C170" s="296"/>
      <c r="D170" s="296"/>
      <c r="E170" s="296"/>
      <c r="F170" s="296"/>
      <c r="G170" s="297"/>
      <c r="H170" s="303"/>
      <c r="I170" s="298"/>
      <c r="J170" s="298"/>
      <c r="K170" s="299"/>
      <c r="L170" s="304"/>
      <c r="M170" s="300"/>
      <c r="N170" s="301"/>
      <c r="P170" s="193" t="str">
        <f>IF(R170 = "", "", COUNT(R$4:$R170))</f>
        <v/>
      </c>
      <c r="Q170" s="193" t="str">
        <f t="shared" si="21"/>
        <v/>
      </c>
      <c r="R170" s="194" t="str">
        <f t="shared" si="22"/>
        <v/>
      </c>
      <c r="S170" s="195" t="str">
        <f t="shared" si="24"/>
        <v/>
      </c>
      <c r="T170" s="196" t="str">
        <f t="shared" si="25"/>
        <v/>
      </c>
      <c r="U170" s="197" t="str">
        <f t="shared" si="26"/>
        <v/>
      </c>
      <c r="V170" s="198" t="str">
        <f t="shared" si="23"/>
        <v/>
      </c>
      <c r="W170" s="339" t="str">
        <f t="shared" si="27"/>
        <v/>
      </c>
      <c r="X170" s="341" t="str">
        <f t="shared" si="28"/>
        <v/>
      </c>
      <c r="Y170" s="277"/>
      <c r="AR170" t="str">
        <f t="shared" si="29"/>
        <v/>
      </c>
      <c r="AS170" t="str">
        <f t="shared" si="30"/>
        <v/>
      </c>
    </row>
    <row r="171" spans="1:45">
      <c r="A171" s="294"/>
      <c r="B171" s="295"/>
      <c r="C171" s="296"/>
      <c r="D171" s="296"/>
      <c r="E171" s="296"/>
      <c r="F171" s="296"/>
      <c r="G171" s="297"/>
      <c r="H171" s="303"/>
      <c r="I171" s="298"/>
      <c r="J171" s="298"/>
      <c r="K171" s="299"/>
      <c r="L171" s="304"/>
      <c r="M171" s="300"/>
      <c r="N171" s="301"/>
      <c r="P171" s="193" t="str">
        <f>IF(R171 = "", "", COUNT(R$4:$R171))</f>
        <v/>
      </c>
      <c r="Q171" s="193" t="str">
        <f t="shared" si="21"/>
        <v/>
      </c>
      <c r="R171" s="194" t="str">
        <f t="shared" si="22"/>
        <v/>
      </c>
      <c r="S171" s="195" t="str">
        <f t="shared" si="24"/>
        <v/>
      </c>
      <c r="T171" s="196" t="str">
        <f t="shared" si="25"/>
        <v/>
      </c>
      <c r="U171" s="197" t="str">
        <f t="shared" si="26"/>
        <v/>
      </c>
      <c r="V171" s="198" t="str">
        <f t="shared" si="23"/>
        <v/>
      </c>
      <c r="W171" s="339" t="str">
        <f t="shared" si="27"/>
        <v/>
      </c>
      <c r="X171" s="341" t="str">
        <f t="shared" si="28"/>
        <v/>
      </c>
      <c r="Y171" s="277"/>
      <c r="AR171" t="str">
        <f t="shared" si="29"/>
        <v/>
      </c>
      <c r="AS171" t="str">
        <f t="shared" si="30"/>
        <v/>
      </c>
    </row>
    <row r="172" spans="1:45">
      <c r="A172" s="294"/>
      <c r="B172" s="295"/>
      <c r="C172" s="296"/>
      <c r="D172" s="296"/>
      <c r="E172" s="296"/>
      <c r="F172" s="296"/>
      <c r="G172" s="297"/>
      <c r="H172" s="303"/>
      <c r="I172" s="298"/>
      <c r="J172" s="298"/>
      <c r="K172" s="299"/>
      <c r="L172" s="304"/>
      <c r="M172" s="300"/>
      <c r="N172" s="301"/>
      <c r="P172" s="193" t="str">
        <f>IF(R172 = "", "", COUNT(R$4:$R172))</f>
        <v/>
      </c>
      <c r="Q172" s="193" t="str">
        <f t="shared" si="21"/>
        <v/>
      </c>
      <c r="R172" s="194" t="str">
        <f t="shared" si="22"/>
        <v/>
      </c>
      <c r="S172" s="195" t="str">
        <f t="shared" si="24"/>
        <v/>
      </c>
      <c r="T172" s="196" t="str">
        <f t="shared" si="25"/>
        <v/>
      </c>
      <c r="U172" s="197" t="str">
        <f t="shared" si="26"/>
        <v/>
      </c>
      <c r="V172" s="198" t="str">
        <f t="shared" si="23"/>
        <v/>
      </c>
      <c r="W172" s="339" t="str">
        <f t="shared" si="27"/>
        <v/>
      </c>
      <c r="X172" s="341" t="str">
        <f t="shared" si="28"/>
        <v/>
      </c>
      <c r="Y172" s="277"/>
      <c r="AR172" t="str">
        <f t="shared" si="29"/>
        <v/>
      </c>
      <c r="AS172" t="str">
        <f t="shared" si="30"/>
        <v/>
      </c>
    </row>
    <row r="173" spans="1:45">
      <c r="A173" s="294"/>
      <c r="B173" s="295"/>
      <c r="C173" s="296"/>
      <c r="D173" s="296"/>
      <c r="E173" s="296"/>
      <c r="F173" s="296"/>
      <c r="G173" s="297"/>
      <c r="H173" s="303"/>
      <c r="I173" s="298"/>
      <c r="J173" s="298"/>
      <c r="K173" s="299"/>
      <c r="L173" s="304"/>
      <c r="M173" s="300"/>
      <c r="N173" s="301"/>
      <c r="P173" s="193" t="str">
        <f>IF(R173 = "", "", COUNT(R$4:$R173))</f>
        <v/>
      </c>
      <c r="Q173" s="193" t="str">
        <f t="shared" si="21"/>
        <v/>
      </c>
      <c r="R173" s="194" t="str">
        <f t="shared" si="22"/>
        <v/>
      </c>
      <c r="S173" s="195" t="str">
        <f t="shared" si="24"/>
        <v/>
      </c>
      <c r="T173" s="196" t="str">
        <f t="shared" si="25"/>
        <v/>
      </c>
      <c r="U173" s="197" t="str">
        <f t="shared" si="26"/>
        <v/>
      </c>
      <c r="V173" s="198" t="str">
        <f t="shared" si="23"/>
        <v/>
      </c>
      <c r="W173" s="339" t="str">
        <f t="shared" si="27"/>
        <v/>
      </c>
      <c r="X173" s="341" t="str">
        <f t="shared" si="28"/>
        <v/>
      </c>
      <c r="Y173" s="277"/>
      <c r="AR173" t="str">
        <f t="shared" si="29"/>
        <v/>
      </c>
      <c r="AS173" t="str">
        <f t="shared" si="30"/>
        <v/>
      </c>
    </row>
    <row r="174" spans="1:45">
      <c r="A174" s="294"/>
      <c r="B174" s="295"/>
      <c r="C174" s="296"/>
      <c r="D174" s="296"/>
      <c r="E174" s="296"/>
      <c r="F174" s="296"/>
      <c r="G174" s="297"/>
      <c r="H174" s="303"/>
      <c r="I174" s="298"/>
      <c r="J174" s="298"/>
      <c r="K174" s="299"/>
      <c r="L174" s="304"/>
      <c r="M174" s="300"/>
      <c r="N174" s="301"/>
      <c r="P174" s="193" t="str">
        <f>IF(R174 = "", "", COUNT(R$4:$R174))</f>
        <v/>
      </c>
      <c r="Q174" s="193" t="str">
        <f t="shared" si="21"/>
        <v/>
      </c>
      <c r="R174" s="194" t="str">
        <f t="shared" si="22"/>
        <v/>
      </c>
      <c r="S174" s="195" t="str">
        <f t="shared" si="24"/>
        <v/>
      </c>
      <c r="T174" s="196" t="str">
        <f t="shared" si="25"/>
        <v/>
      </c>
      <c r="U174" s="197" t="str">
        <f t="shared" si="26"/>
        <v/>
      </c>
      <c r="V174" s="198" t="str">
        <f t="shared" si="23"/>
        <v/>
      </c>
      <c r="W174" s="339" t="str">
        <f t="shared" si="27"/>
        <v/>
      </c>
      <c r="X174" s="341" t="str">
        <f t="shared" si="28"/>
        <v/>
      </c>
      <c r="Y174" s="277"/>
      <c r="AR174" t="str">
        <f t="shared" si="29"/>
        <v/>
      </c>
      <c r="AS174" t="str">
        <f t="shared" si="30"/>
        <v/>
      </c>
    </row>
    <row r="175" spans="1:45">
      <c r="A175" s="294"/>
      <c r="B175" s="295"/>
      <c r="C175" s="296"/>
      <c r="D175" s="296"/>
      <c r="E175" s="296"/>
      <c r="F175" s="296"/>
      <c r="G175" s="297"/>
      <c r="H175" s="303"/>
      <c r="I175" s="298"/>
      <c r="J175" s="298"/>
      <c r="K175" s="299"/>
      <c r="L175" s="304"/>
      <c r="M175" s="300"/>
      <c r="N175" s="301"/>
      <c r="P175" s="193" t="str">
        <f>IF(R175 = "", "", COUNT(R$4:$R175))</f>
        <v/>
      </c>
      <c r="Q175" s="193" t="str">
        <f t="shared" si="21"/>
        <v/>
      </c>
      <c r="R175" s="194" t="str">
        <f t="shared" si="22"/>
        <v/>
      </c>
      <c r="S175" s="195" t="str">
        <f t="shared" si="24"/>
        <v/>
      </c>
      <c r="T175" s="196" t="str">
        <f t="shared" si="25"/>
        <v/>
      </c>
      <c r="U175" s="197" t="str">
        <f t="shared" si="26"/>
        <v/>
      </c>
      <c r="V175" s="198" t="str">
        <f t="shared" si="23"/>
        <v/>
      </c>
      <c r="W175" s="339" t="str">
        <f t="shared" si="27"/>
        <v/>
      </c>
      <c r="X175" s="341" t="str">
        <f t="shared" si="28"/>
        <v/>
      </c>
      <c r="Y175" s="277"/>
      <c r="AR175" t="str">
        <f t="shared" si="29"/>
        <v/>
      </c>
      <c r="AS175" t="str">
        <f t="shared" si="30"/>
        <v/>
      </c>
    </row>
    <row r="176" spans="1:45">
      <c r="A176" s="294"/>
      <c r="B176" s="295"/>
      <c r="C176" s="296"/>
      <c r="D176" s="296"/>
      <c r="E176" s="296"/>
      <c r="F176" s="296"/>
      <c r="G176" s="297"/>
      <c r="H176" s="303"/>
      <c r="I176" s="298"/>
      <c r="J176" s="298"/>
      <c r="K176" s="299"/>
      <c r="L176" s="304"/>
      <c r="M176" s="300"/>
      <c r="N176" s="301"/>
      <c r="P176" s="193" t="str">
        <f>IF(R176 = "", "", COUNT(R$4:$R176))</f>
        <v/>
      </c>
      <c r="Q176" s="193" t="str">
        <f t="shared" si="21"/>
        <v/>
      </c>
      <c r="R176" s="194" t="str">
        <f t="shared" si="22"/>
        <v/>
      </c>
      <c r="S176" s="195" t="str">
        <f t="shared" si="24"/>
        <v/>
      </c>
      <c r="T176" s="196" t="str">
        <f t="shared" si="25"/>
        <v/>
      </c>
      <c r="U176" s="197" t="str">
        <f t="shared" si="26"/>
        <v/>
      </c>
      <c r="V176" s="198" t="str">
        <f t="shared" si="23"/>
        <v/>
      </c>
      <c r="W176" s="339" t="str">
        <f t="shared" si="27"/>
        <v/>
      </c>
      <c r="X176" s="341" t="str">
        <f t="shared" si="28"/>
        <v/>
      </c>
      <c r="Y176" s="277"/>
      <c r="AR176" t="str">
        <f t="shared" si="29"/>
        <v/>
      </c>
      <c r="AS176" t="str">
        <f t="shared" si="30"/>
        <v/>
      </c>
    </row>
    <row r="177" spans="1:45">
      <c r="A177" s="294"/>
      <c r="B177" s="295"/>
      <c r="C177" s="296"/>
      <c r="D177" s="296"/>
      <c r="E177" s="296"/>
      <c r="F177" s="296"/>
      <c r="G177" s="297"/>
      <c r="H177" s="303"/>
      <c r="I177" s="298"/>
      <c r="J177" s="298"/>
      <c r="K177" s="299"/>
      <c r="L177" s="304"/>
      <c r="M177" s="300"/>
      <c r="N177" s="301"/>
      <c r="P177" s="193" t="str">
        <f>IF(R177 = "", "", COUNT(R$4:$R177))</f>
        <v/>
      </c>
      <c r="Q177" s="193" t="str">
        <f t="shared" si="21"/>
        <v/>
      </c>
      <c r="R177" s="194" t="str">
        <f t="shared" si="22"/>
        <v/>
      </c>
      <c r="S177" s="195" t="str">
        <f t="shared" si="24"/>
        <v/>
      </c>
      <c r="T177" s="196" t="str">
        <f t="shared" si="25"/>
        <v/>
      </c>
      <c r="U177" s="197" t="str">
        <f t="shared" si="26"/>
        <v/>
      </c>
      <c r="V177" s="198" t="str">
        <f t="shared" si="23"/>
        <v/>
      </c>
      <c r="W177" s="339" t="str">
        <f t="shared" si="27"/>
        <v/>
      </c>
      <c r="X177" s="341" t="str">
        <f t="shared" si="28"/>
        <v/>
      </c>
      <c r="Y177" s="277"/>
      <c r="AR177" t="str">
        <f t="shared" si="29"/>
        <v/>
      </c>
      <c r="AS177" t="str">
        <f t="shared" si="30"/>
        <v/>
      </c>
    </row>
    <row r="178" spans="1:45">
      <c r="A178" s="294"/>
      <c r="B178" s="295"/>
      <c r="C178" s="296"/>
      <c r="D178" s="296"/>
      <c r="E178" s="296"/>
      <c r="F178" s="296"/>
      <c r="G178" s="297"/>
      <c r="H178" s="303"/>
      <c r="I178" s="298"/>
      <c r="J178" s="298"/>
      <c r="K178" s="299"/>
      <c r="L178" s="304"/>
      <c r="M178" s="300"/>
      <c r="N178" s="301"/>
      <c r="P178" s="193" t="str">
        <f>IF(R178 = "", "", COUNT(R$4:$R178))</f>
        <v/>
      </c>
      <c r="Q178" s="193" t="str">
        <f t="shared" si="21"/>
        <v/>
      </c>
      <c r="R178" s="194" t="str">
        <f t="shared" si="22"/>
        <v/>
      </c>
      <c r="S178" s="195" t="str">
        <f t="shared" si="24"/>
        <v/>
      </c>
      <c r="T178" s="196" t="str">
        <f t="shared" si="25"/>
        <v/>
      </c>
      <c r="U178" s="197" t="str">
        <f t="shared" si="26"/>
        <v/>
      </c>
      <c r="V178" s="198" t="str">
        <f t="shared" si="23"/>
        <v/>
      </c>
      <c r="W178" s="339" t="str">
        <f t="shared" si="27"/>
        <v/>
      </c>
      <c r="X178" s="341" t="str">
        <f t="shared" si="28"/>
        <v/>
      </c>
      <c r="Y178" s="277"/>
      <c r="AR178" t="str">
        <f t="shared" si="29"/>
        <v/>
      </c>
      <c r="AS178" t="str">
        <f t="shared" si="30"/>
        <v/>
      </c>
    </row>
    <row r="179" spans="1:45">
      <c r="A179" s="294"/>
      <c r="B179" s="295"/>
      <c r="C179" s="296"/>
      <c r="D179" s="296"/>
      <c r="E179" s="296"/>
      <c r="F179" s="296"/>
      <c r="G179" s="297"/>
      <c r="H179" s="303"/>
      <c r="I179" s="298"/>
      <c r="J179" s="298"/>
      <c r="K179" s="299"/>
      <c r="L179" s="304"/>
      <c r="M179" s="300"/>
      <c r="N179" s="301"/>
      <c r="P179" s="193" t="str">
        <f>IF(R179 = "", "", COUNT(R$4:$R179))</f>
        <v/>
      </c>
      <c r="Q179" s="193" t="str">
        <f t="shared" si="21"/>
        <v/>
      </c>
      <c r="R179" s="194" t="str">
        <f t="shared" si="22"/>
        <v/>
      </c>
      <c r="S179" s="195" t="str">
        <f t="shared" si="24"/>
        <v/>
      </c>
      <c r="T179" s="196" t="str">
        <f t="shared" si="25"/>
        <v/>
      </c>
      <c r="U179" s="197" t="str">
        <f t="shared" si="26"/>
        <v/>
      </c>
      <c r="V179" s="198" t="str">
        <f t="shared" si="23"/>
        <v/>
      </c>
      <c r="W179" s="339" t="str">
        <f t="shared" si="27"/>
        <v/>
      </c>
      <c r="X179" s="341" t="str">
        <f t="shared" si="28"/>
        <v/>
      </c>
      <c r="Y179" s="277"/>
      <c r="AR179" t="str">
        <f t="shared" si="29"/>
        <v/>
      </c>
      <c r="AS179" t="str">
        <f t="shared" si="30"/>
        <v/>
      </c>
    </row>
    <row r="180" spans="1:45">
      <c r="A180" s="294"/>
      <c r="B180" s="295"/>
      <c r="C180" s="296"/>
      <c r="D180" s="296"/>
      <c r="E180" s="296"/>
      <c r="F180" s="296"/>
      <c r="G180" s="297"/>
      <c r="H180" s="303"/>
      <c r="I180" s="298"/>
      <c r="J180" s="298"/>
      <c r="K180" s="299"/>
      <c r="L180" s="304"/>
      <c r="M180" s="300"/>
      <c r="N180" s="301"/>
      <c r="P180" s="193" t="str">
        <f>IF(R180 = "", "", COUNT(R$4:$R180))</f>
        <v/>
      </c>
      <c r="Q180" s="193" t="str">
        <f t="shared" si="21"/>
        <v/>
      </c>
      <c r="R180" s="194" t="str">
        <f t="shared" si="22"/>
        <v/>
      </c>
      <c r="S180" s="195" t="str">
        <f t="shared" si="24"/>
        <v/>
      </c>
      <c r="T180" s="196" t="str">
        <f t="shared" si="25"/>
        <v/>
      </c>
      <c r="U180" s="197" t="str">
        <f t="shared" si="26"/>
        <v/>
      </c>
      <c r="V180" s="198" t="str">
        <f t="shared" si="23"/>
        <v/>
      </c>
      <c r="W180" s="339" t="str">
        <f t="shared" si="27"/>
        <v/>
      </c>
      <c r="X180" s="341" t="str">
        <f t="shared" si="28"/>
        <v/>
      </c>
      <c r="Y180" s="277"/>
      <c r="AR180" t="str">
        <f t="shared" si="29"/>
        <v/>
      </c>
      <c r="AS180" t="str">
        <f t="shared" si="30"/>
        <v/>
      </c>
    </row>
    <row r="181" spans="1:45">
      <c r="A181" s="294"/>
      <c r="B181" s="295"/>
      <c r="C181" s="296"/>
      <c r="D181" s="296"/>
      <c r="E181" s="296"/>
      <c r="F181" s="296"/>
      <c r="G181" s="297"/>
      <c r="H181" s="303"/>
      <c r="I181" s="298"/>
      <c r="J181" s="298"/>
      <c r="K181" s="299"/>
      <c r="L181" s="304"/>
      <c r="M181" s="300"/>
      <c r="N181" s="301"/>
      <c r="P181" s="193" t="str">
        <f>IF(R181 = "", "", COUNT(R$4:$R181))</f>
        <v/>
      </c>
      <c r="Q181" s="193" t="str">
        <f t="shared" si="21"/>
        <v/>
      </c>
      <c r="R181" s="194" t="str">
        <f t="shared" si="22"/>
        <v/>
      </c>
      <c r="S181" s="195" t="str">
        <f t="shared" si="24"/>
        <v/>
      </c>
      <c r="T181" s="196" t="str">
        <f t="shared" si="25"/>
        <v/>
      </c>
      <c r="U181" s="197" t="str">
        <f t="shared" si="26"/>
        <v/>
      </c>
      <c r="V181" s="198" t="str">
        <f t="shared" si="23"/>
        <v/>
      </c>
      <c r="W181" s="339" t="str">
        <f t="shared" si="27"/>
        <v/>
      </c>
      <c r="X181" s="341" t="str">
        <f t="shared" si="28"/>
        <v/>
      </c>
      <c r="Y181" s="277"/>
      <c r="AR181" t="str">
        <f t="shared" si="29"/>
        <v/>
      </c>
      <c r="AS181" t="str">
        <f t="shared" si="30"/>
        <v/>
      </c>
    </row>
    <row r="182" spans="1:45">
      <c r="A182" s="294"/>
      <c r="B182" s="295"/>
      <c r="C182" s="296"/>
      <c r="D182" s="296"/>
      <c r="E182" s="296"/>
      <c r="F182" s="296"/>
      <c r="G182" s="297"/>
      <c r="H182" s="303"/>
      <c r="I182" s="298"/>
      <c r="J182" s="298"/>
      <c r="K182" s="299"/>
      <c r="L182" s="304"/>
      <c r="M182" s="300"/>
      <c r="N182" s="301"/>
      <c r="P182" s="193" t="str">
        <f>IF(R182 = "", "", COUNT(R$4:$R182))</f>
        <v/>
      </c>
      <c r="Q182" s="193" t="str">
        <f t="shared" si="21"/>
        <v/>
      </c>
      <c r="R182" s="194" t="str">
        <f t="shared" si="22"/>
        <v/>
      </c>
      <c r="S182" s="195" t="str">
        <f t="shared" si="24"/>
        <v/>
      </c>
      <c r="T182" s="196" t="str">
        <f t="shared" si="25"/>
        <v/>
      </c>
      <c r="U182" s="197" t="str">
        <f t="shared" si="26"/>
        <v/>
      </c>
      <c r="V182" s="198" t="str">
        <f t="shared" si="23"/>
        <v/>
      </c>
      <c r="W182" s="339" t="str">
        <f t="shared" si="27"/>
        <v/>
      </c>
      <c r="X182" s="341" t="str">
        <f t="shared" si="28"/>
        <v/>
      </c>
      <c r="Y182" s="277"/>
      <c r="AR182" t="str">
        <f t="shared" si="29"/>
        <v/>
      </c>
      <c r="AS182" t="str">
        <f t="shared" si="30"/>
        <v/>
      </c>
    </row>
    <row r="183" spans="1:45">
      <c r="A183" s="294"/>
      <c r="B183" s="295"/>
      <c r="C183" s="296"/>
      <c r="D183" s="296"/>
      <c r="E183" s="296"/>
      <c r="F183" s="296"/>
      <c r="G183" s="297"/>
      <c r="H183" s="303"/>
      <c r="I183" s="298"/>
      <c r="J183" s="298"/>
      <c r="K183" s="299"/>
      <c r="L183" s="304"/>
      <c r="M183" s="300"/>
      <c r="N183" s="301"/>
      <c r="P183" s="193" t="str">
        <f>IF(R183 = "", "", COUNT(R$4:$R183))</f>
        <v/>
      </c>
      <c r="Q183" s="193" t="str">
        <f t="shared" si="21"/>
        <v/>
      </c>
      <c r="R183" s="194" t="str">
        <f t="shared" si="22"/>
        <v/>
      </c>
      <c r="S183" s="195" t="str">
        <f t="shared" si="24"/>
        <v/>
      </c>
      <c r="T183" s="196" t="str">
        <f t="shared" si="25"/>
        <v/>
      </c>
      <c r="U183" s="197" t="str">
        <f t="shared" si="26"/>
        <v/>
      </c>
      <c r="V183" s="198" t="str">
        <f t="shared" si="23"/>
        <v/>
      </c>
      <c r="W183" s="339" t="str">
        <f t="shared" si="27"/>
        <v/>
      </c>
      <c r="X183" s="341" t="str">
        <f t="shared" si="28"/>
        <v/>
      </c>
      <c r="Y183" s="277"/>
      <c r="AR183" t="str">
        <f t="shared" si="29"/>
        <v/>
      </c>
      <c r="AS183" t="str">
        <f t="shared" si="30"/>
        <v/>
      </c>
    </row>
    <row r="184" spans="1:45">
      <c r="A184" s="294"/>
      <c r="B184" s="295"/>
      <c r="C184" s="296"/>
      <c r="D184" s="296"/>
      <c r="E184" s="296"/>
      <c r="F184" s="296"/>
      <c r="G184" s="297"/>
      <c r="H184" s="303"/>
      <c r="I184" s="298"/>
      <c r="J184" s="298"/>
      <c r="K184" s="299"/>
      <c r="L184" s="304"/>
      <c r="M184" s="300"/>
      <c r="N184" s="301"/>
      <c r="P184" s="193" t="str">
        <f>IF(R184 = "", "", COUNT(R$4:$R184))</f>
        <v/>
      </c>
      <c r="Q184" s="193" t="str">
        <f t="shared" si="21"/>
        <v/>
      </c>
      <c r="R184" s="194" t="str">
        <f t="shared" si="22"/>
        <v/>
      </c>
      <c r="S184" s="195" t="str">
        <f t="shared" si="24"/>
        <v/>
      </c>
      <c r="T184" s="196" t="str">
        <f t="shared" si="25"/>
        <v/>
      </c>
      <c r="U184" s="197" t="str">
        <f t="shared" si="26"/>
        <v/>
      </c>
      <c r="V184" s="198" t="str">
        <f t="shared" si="23"/>
        <v/>
      </c>
      <c r="W184" s="339" t="str">
        <f t="shared" si="27"/>
        <v/>
      </c>
      <c r="X184" s="341" t="str">
        <f t="shared" si="28"/>
        <v/>
      </c>
      <c r="Y184" s="277"/>
      <c r="AR184" t="str">
        <f t="shared" si="29"/>
        <v/>
      </c>
      <c r="AS184" t="str">
        <f t="shared" si="30"/>
        <v/>
      </c>
    </row>
    <row r="185" spans="1:45">
      <c r="A185" s="294"/>
      <c r="B185" s="295"/>
      <c r="C185" s="296"/>
      <c r="D185" s="296"/>
      <c r="E185" s="296"/>
      <c r="F185" s="296"/>
      <c r="G185" s="297"/>
      <c r="H185" s="303"/>
      <c r="I185" s="298"/>
      <c r="J185" s="298"/>
      <c r="K185" s="299"/>
      <c r="L185" s="304"/>
      <c r="M185" s="300"/>
      <c r="N185" s="301"/>
      <c r="P185" s="193" t="str">
        <f>IF(R185 = "", "", COUNT(R$4:$R185))</f>
        <v/>
      </c>
      <c r="Q185" s="193" t="str">
        <f t="shared" si="21"/>
        <v/>
      </c>
      <c r="R185" s="194" t="str">
        <f t="shared" si="22"/>
        <v/>
      </c>
      <c r="S185" s="195" t="str">
        <f t="shared" si="24"/>
        <v/>
      </c>
      <c r="T185" s="196" t="str">
        <f t="shared" si="25"/>
        <v/>
      </c>
      <c r="U185" s="197" t="str">
        <f t="shared" si="26"/>
        <v/>
      </c>
      <c r="V185" s="198" t="str">
        <f t="shared" si="23"/>
        <v/>
      </c>
      <c r="W185" s="339" t="str">
        <f t="shared" si="27"/>
        <v/>
      </c>
      <c r="X185" s="341" t="str">
        <f t="shared" si="28"/>
        <v/>
      </c>
      <c r="Y185" s="277"/>
      <c r="AR185" t="str">
        <f t="shared" si="29"/>
        <v/>
      </c>
      <c r="AS185" t="str">
        <f t="shared" si="30"/>
        <v/>
      </c>
    </row>
    <row r="186" spans="1:45">
      <c r="A186" s="294"/>
      <c r="B186" s="295"/>
      <c r="C186" s="296"/>
      <c r="D186" s="296"/>
      <c r="E186" s="296"/>
      <c r="F186" s="296"/>
      <c r="G186" s="297"/>
      <c r="H186" s="303"/>
      <c r="I186" s="298"/>
      <c r="J186" s="298"/>
      <c r="K186" s="299"/>
      <c r="L186" s="304"/>
      <c r="M186" s="300"/>
      <c r="N186" s="301"/>
      <c r="P186" s="193" t="str">
        <f>IF(R186 = "", "", COUNT(R$4:$R186))</f>
        <v/>
      </c>
      <c r="Q186" s="193" t="str">
        <f t="shared" si="21"/>
        <v/>
      </c>
      <c r="R186" s="194" t="str">
        <f t="shared" si="22"/>
        <v/>
      </c>
      <c r="S186" s="195" t="str">
        <f t="shared" si="24"/>
        <v/>
      </c>
      <c r="T186" s="196" t="str">
        <f t="shared" si="25"/>
        <v/>
      </c>
      <c r="U186" s="197" t="str">
        <f t="shared" si="26"/>
        <v/>
      </c>
      <c r="V186" s="198" t="str">
        <f t="shared" si="23"/>
        <v/>
      </c>
      <c r="W186" s="339" t="str">
        <f t="shared" si="27"/>
        <v/>
      </c>
      <c r="X186" s="341" t="str">
        <f t="shared" si="28"/>
        <v/>
      </c>
      <c r="Y186" s="277"/>
      <c r="AR186" t="str">
        <f t="shared" si="29"/>
        <v/>
      </c>
      <c r="AS186" t="str">
        <f t="shared" si="30"/>
        <v/>
      </c>
    </row>
    <row r="187" spans="1:45">
      <c r="A187" s="294"/>
      <c r="B187" s="295"/>
      <c r="C187" s="296"/>
      <c r="D187" s="296"/>
      <c r="E187" s="296"/>
      <c r="F187" s="296"/>
      <c r="G187" s="297"/>
      <c r="H187" s="303"/>
      <c r="I187" s="298"/>
      <c r="J187" s="298"/>
      <c r="K187" s="299"/>
      <c r="L187" s="304"/>
      <c r="M187" s="300"/>
      <c r="N187" s="301"/>
      <c r="P187" s="193" t="str">
        <f>IF(R187 = "", "", COUNT(R$4:$R187))</f>
        <v/>
      </c>
      <c r="Q187" s="193" t="str">
        <f t="shared" si="21"/>
        <v/>
      </c>
      <c r="R187" s="194" t="str">
        <f t="shared" si="22"/>
        <v/>
      </c>
      <c r="S187" s="195" t="str">
        <f t="shared" si="24"/>
        <v/>
      </c>
      <c r="T187" s="196" t="str">
        <f t="shared" si="25"/>
        <v/>
      </c>
      <c r="U187" s="197" t="str">
        <f t="shared" si="26"/>
        <v/>
      </c>
      <c r="V187" s="198" t="str">
        <f t="shared" si="23"/>
        <v/>
      </c>
      <c r="W187" s="339" t="str">
        <f t="shared" si="27"/>
        <v/>
      </c>
      <c r="X187" s="341" t="str">
        <f t="shared" si="28"/>
        <v/>
      </c>
      <c r="Y187" s="277"/>
      <c r="AR187" t="str">
        <f t="shared" si="29"/>
        <v/>
      </c>
      <c r="AS187" t="str">
        <f t="shared" si="30"/>
        <v/>
      </c>
    </row>
    <row r="188" spans="1:45">
      <c r="A188" s="294"/>
      <c r="B188" s="295"/>
      <c r="C188" s="296"/>
      <c r="D188" s="296"/>
      <c r="E188" s="296"/>
      <c r="F188" s="296"/>
      <c r="G188" s="297"/>
      <c r="H188" s="303"/>
      <c r="I188" s="298"/>
      <c r="J188" s="298"/>
      <c r="K188" s="299"/>
      <c r="L188" s="304"/>
      <c r="M188" s="300"/>
      <c r="N188" s="301"/>
      <c r="P188" s="193" t="str">
        <f>IF(R188 = "", "", COUNT(R$4:$R188))</f>
        <v/>
      </c>
      <c r="Q188" s="193" t="str">
        <f t="shared" si="21"/>
        <v/>
      </c>
      <c r="R188" s="194" t="str">
        <f t="shared" si="22"/>
        <v/>
      </c>
      <c r="S188" s="195" t="str">
        <f t="shared" si="24"/>
        <v/>
      </c>
      <c r="T188" s="196" t="str">
        <f t="shared" si="25"/>
        <v/>
      </c>
      <c r="U188" s="197" t="str">
        <f t="shared" si="26"/>
        <v/>
      </c>
      <c r="V188" s="198" t="str">
        <f t="shared" si="23"/>
        <v/>
      </c>
      <c r="W188" s="339" t="str">
        <f t="shared" si="27"/>
        <v/>
      </c>
      <c r="X188" s="341" t="str">
        <f t="shared" si="28"/>
        <v/>
      </c>
      <c r="Y188" s="277"/>
      <c r="AR188" t="str">
        <f t="shared" si="29"/>
        <v/>
      </c>
      <c r="AS188" t="str">
        <f t="shared" si="30"/>
        <v/>
      </c>
    </row>
    <row r="189" spans="1:45">
      <c r="A189" s="294"/>
      <c r="B189" s="295"/>
      <c r="C189" s="296"/>
      <c r="D189" s="296"/>
      <c r="E189" s="296"/>
      <c r="F189" s="296"/>
      <c r="G189" s="297"/>
      <c r="H189" s="303"/>
      <c r="I189" s="298"/>
      <c r="J189" s="298"/>
      <c r="K189" s="299"/>
      <c r="L189" s="304"/>
      <c r="M189" s="300"/>
      <c r="N189" s="301"/>
      <c r="P189" s="193" t="str">
        <f>IF(R189 = "", "", COUNT(R$4:$R189))</f>
        <v/>
      </c>
      <c r="Q189" s="193" t="str">
        <f t="shared" si="21"/>
        <v/>
      </c>
      <c r="R189" s="194" t="str">
        <f t="shared" si="22"/>
        <v/>
      </c>
      <c r="S189" s="195" t="str">
        <f t="shared" si="24"/>
        <v/>
      </c>
      <c r="T189" s="196" t="str">
        <f t="shared" si="25"/>
        <v/>
      </c>
      <c r="U189" s="197" t="str">
        <f t="shared" si="26"/>
        <v/>
      </c>
      <c r="V189" s="198" t="str">
        <f t="shared" si="23"/>
        <v/>
      </c>
      <c r="W189" s="339" t="str">
        <f t="shared" si="27"/>
        <v/>
      </c>
      <c r="X189" s="341" t="str">
        <f t="shared" si="28"/>
        <v/>
      </c>
      <c r="Y189" s="277"/>
      <c r="AR189" t="str">
        <f t="shared" si="29"/>
        <v/>
      </c>
      <c r="AS189" t="str">
        <f t="shared" si="30"/>
        <v/>
      </c>
    </row>
    <row r="190" spans="1:45">
      <c r="A190" s="294"/>
      <c r="B190" s="295"/>
      <c r="C190" s="296"/>
      <c r="D190" s="296"/>
      <c r="E190" s="296"/>
      <c r="F190" s="296"/>
      <c r="G190" s="297"/>
      <c r="H190" s="303"/>
      <c r="I190" s="298"/>
      <c r="J190" s="298"/>
      <c r="K190" s="299"/>
      <c r="L190" s="304"/>
      <c r="M190" s="300"/>
      <c r="N190" s="301"/>
      <c r="P190" s="193" t="str">
        <f>IF(R190 = "", "", COUNT(R$4:$R190))</f>
        <v/>
      </c>
      <c r="Q190" s="193" t="str">
        <f t="shared" si="21"/>
        <v/>
      </c>
      <c r="R190" s="194" t="str">
        <f t="shared" si="22"/>
        <v/>
      </c>
      <c r="S190" s="195" t="str">
        <f t="shared" si="24"/>
        <v/>
      </c>
      <c r="T190" s="196" t="str">
        <f t="shared" si="25"/>
        <v/>
      </c>
      <c r="U190" s="197" t="str">
        <f t="shared" si="26"/>
        <v/>
      </c>
      <c r="V190" s="198" t="str">
        <f t="shared" si="23"/>
        <v/>
      </c>
      <c r="W190" s="339" t="str">
        <f t="shared" si="27"/>
        <v/>
      </c>
      <c r="X190" s="341" t="str">
        <f t="shared" si="28"/>
        <v/>
      </c>
      <c r="Y190" s="277"/>
      <c r="AR190" t="str">
        <f t="shared" si="29"/>
        <v/>
      </c>
      <c r="AS190" t="str">
        <f t="shared" si="30"/>
        <v/>
      </c>
    </row>
    <row r="191" spans="1:45">
      <c r="A191" s="294"/>
      <c r="B191" s="295"/>
      <c r="C191" s="296"/>
      <c r="D191" s="296"/>
      <c r="E191" s="296"/>
      <c r="F191" s="296"/>
      <c r="G191" s="297"/>
      <c r="H191" s="303"/>
      <c r="I191" s="298"/>
      <c r="J191" s="298"/>
      <c r="K191" s="299"/>
      <c r="L191" s="304"/>
      <c r="M191" s="300"/>
      <c r="N191" s="301"/>
      <c r="P191" s="193" t="str">
        <f>IF(R191 = "", "", COUNT(R$4:$R191))</f>
        <v/>
      </c>
      <c r="Q191" s="193" t="str">
        <f t="shared" si="21"/>
        <v/>
      </c>
      <c r="R191" s="194" t="str">
        <f t="shared" si="22"/>
        <v/>
      </c>
      <c r="S191" s="195" t="str">
        <f t="shared" si="24"/>
        <v/>
      </c>
      <c r="T191" s="196" t="str">
        <f t="shared" si="25"/>
        <v/>
      </c>
      <c r="U191" s="197" t="str">
        <f t="shared" si="26"/>
        <v/>
      </c>
      <c r="V191" s="198" t="str">
        <f t="shared" si="23"/>
        <v/>
      </c>
      <c r="W191" s="339" t="str">
        <f t="shared" si="27"/>
        <v/>
      </c>
      <c r="X191" s="341" t="str">
        <f t="shared" si="28"/>
        <v/>
      </c>
      <c r="Y191" s="277"/>
      <c r="AR191" t="str">
        <f t="shared" si="29"/>
        <v/>
      </c>
      <c r="AS191" t="str">
        <f t="shared" si="30"/>
        <v/>
      </c>
    </row>
    <row r="192" spans="1:45">
      <c r="A192" s="294"/>
      <c r="B192" s="295"/>
      <c r="C192" s="296"/>
      <c r="D192" s="296"/>
      <c r="E192" s="296"/>
      <c r="F192" s="296"/>
      <c r="G192" s="297"/>
      <c r="H192" s="303"/>
      <c r="I192" s="298"/>
      <c r="J192" s="298"/>
      <c r="K192" s="299"/>
      <c r="L192" s="304"/>
      <c r="M192" s="300"/>
      <c r="N192" s="301"/>
      <c r="P192" s="193" t="str">
        <f>IF(R192 = "", "", COUNT(R$4:$R192))</f>
        <v/>
      </c>
      <c r="Q192" s="193" t="str">
        <f t="shared" si="21"/>
        <v/>
      </c>
      <c r="R192" s="194" t="str">
        <f t="shared" si="22"/>
        <v/>
      </c>
      <c r="S192" s="195" t="str">
        <f t="shared" si="24"/>
        <v/>
      </c>
      <c r="T192" s="196" t="str">
        <f t="shared" si="25"/>
        <v/>
      </c>
      <c r="U192" s="197" t="str">
        <f t="shared" si="26"/>
        <v/>
      </c>
      <c r="V192" s="198" t="str">
        <f t="shared" si="23"/>
        <v/>
      </c>
      <c r="W192" s="339" t="str">
        <f t="shared" si="27"/>
        <v/>
      </c>
      <c r="X192" s="341" t="str">
        <f t="shared" si="28"/>
        <v/>
      </c>
      <c r="Y192" s="277"/>
      <c r="AR192" t="str">
        <f t="shared" si="29"/>
        <v/>
      </c>
      <c r="AS192" t="str">
        <f t="shared" si="30"/>
        <v/>
      </c>
    </row>
    <row r="193" spans="1:45">
      <c r="A193" s="294"/>
      <c r="B193" s="295"/>
      <c r="C193" s="296"/>
      <c r="D193" s="296"/>
      <c r="E193" s="296"/>
      <c r="F193" s="296"/>
      <c r="G193" s="297"/>
      <c r="H193" s="303"/>
      <c r="I193" s="298"/>
      <c r="J193" s="298"/>
      <c r="K193" s="299"/>
      <c r="L193" s="304"/>
      <c r="M193" s="300"/>
      <c r="N193" s="301"/>
      <c r="P193" s="193" t="str">
        <f>IF(R193 = "", "", COUNT(R$4:$R193))</f>
        <v/>
      </c>
      <c r="Q193" s="193" t="str">
        <f t="shared" si="21"/>
        <v/>
      </c>
      <c r="R193" s="194" t="str">
        <f t="shared" si="22"/>
        <v/>
      </c>
      <c r="S193" s="195" t="str">
        <f t="shared" si="24"/>
        <v/>
      </c>
      <c r="T193" s="196" t="str">
        <f t="shared" si="25"/>
        <v/>
      </c>
      <c r="U193" s="197" t="str">
        <f t="shared" si="26"/>
        <v/>
      </c>
      <c r="V193" s="198" t="str">
        <f t="shared" si="23"/>
        <v/>
      </c>
      <c r="W193" s="339" t="str">
        <f t="shared" si="27"/>
        <v/>
      </c>
      <c r="X193" s="341" t="str">
        <f t="shared" si="28"/>
        <v/>
      </c>
      <c r="Y193" s="277"/>
      <c r="AR193" t="str">
        <f t="shared" si="29"/>
        <v/>
      </c>
      <c r="AS193" t="str">
        <f t="shared" si="30"/>
        <v/>
      </c>
    </row>
    <row r="194" spans="1:45">
      <c r="A194" s="294"/>
      <c r="B194" s="295"/>
      <c r="C194" s="296"/>
      <c r="D194" s="296"/>
      <c r="E194" s="296"/>
      <c r="F194" s="296"/>
      <c r="G194" s="297"/>
      <c r="H194" s="303"/>
      <c r="I194" s="298"/>
      <c r="J194" s="298"/>
      <c r="K194" s="299"/>
      <c r="L194" s="304"/>
      <c r="M194" s="300"/>
      <c r="N194" s="301"/>
      <c r="P194" s="193" t="str">
        <f>IF(R194 = "", "", COUNT(R$4:$R194))</f>
        <v/>
      </c>
      <c r="Q194" s="193" t="str">
        <f t="shared" si="21"/>
        <v/>
      </c>
      <c r="R194" s="194" t="str">
        <f t="shared" si="22"/>
        <v/>
      </c>
      <c r="S194" s="195" t="str">
        <f t="shared" si="24"/>
        <v/>
      </c>
      <c r="T194" s="196" t="str">
        <f t="shared" si="25"/>
        <v/>
      </c>
      <c r="U194" s="197" t="str">
        <f t="shared" si="26"/>
        <v/>
      </c>
      <c r="V194" s="198" t="str">
        <f t="shared" si="23"/>
        <v/>
      </c>
      <c r="W194" s="339" t="str">
        <f t="shared" si="27"/>
        <v/>
      </c>
      <c r="X194" s="341" t="str">
        <f t="shared" si="28"/>
        <v/>
      </c>
      <c r="Y194" s="277"/>
      <c r="AR194" t="str">
        <f t="shared" si="29"/>
        <v/>
      </c>
      <c r="AS194" t="str">
        <f t="shared" si="30"/>
        <v/>
      </c>
    </row>
    <row r="195" spans="1:45">
      <c r="A195" s="294"/>
      <c r="B195" s="295"/>
      <c r="C195" s="296"/>
      <c r="D195" s="296"/>
      <c r="E195" s="296"/>
      <c r="F195" s="296"/>
      <c r="G195" s="297"/>
      <c r="H195" s="303"/>
      <c r="I195" s="298"/>
      <c r="J195" s="298"/>
      <c r="K195" s="299"/>
      <c r="L195" s="304"/>
      <c r="M195" s="300"/>
      <c r="N195" s="301"/>
      <c r="P195" s="193" t="str">
        <f>IF(R195 = "", "", COUNT(R$4:$R195))</f>
        <v/>
      </c>
      <c r="Q195" s="193" t="str">
        <f t="shared" si="21"/>
        <v/>
      </c>
      <c r="R195" s="194" t="str">
        <f t="shared" si="22"/>
        <v/>
      </c>
      <c r="S195" s="195" t="str">
        <f t="shared" si="24"/>
        <v/>
      </c>
      <c r="T195" s="196" t="str">
        <f t="shared" si="25"/>
        <v/>
      </c>
      <c r="U195" s="197" t="str">
        <f t="shared" si="26"/>
        <v/>
      </c>
      <c r="V195" s="198" t="str">
        <f t="shared" si="23"/>
        <v/>
      </c>
      <c r="W195" s="339" t="str">
        <f t="shared" si="27"/>
        <v/>
      </c>
      <c r="X195" s="341" t="str">
        <f t="shared" si="28"/>
        <v/>
      </c>
      <c r="Y195" s="277"/>
      <c r="AR195" t="str">
        <f t="shared" si="29"/>
        <v/>
      </c>
      <c r="AS195" t="str">
        <f t="shared" si="30"/>
        <v/>
      </c>
    </row>
    <row r="196" spans="1:45">
      <c r="A196" s="294"/>
      <c r="B196" s="295"/>
      <c r="C196" s="296"/>
      <c r="D196" s="296"/>
      <c r="E196" s="296"/>
      <c r="F196" s="296"/>
      <c r="G196" s="297"/>
      <c r="H196" s="303"/>
      <c r="I196" s="298"/>
      <c r="J196" s="298"/>
      <c r="K196" s="299"/>
      <c r="L196" s="304"/>
      <c r="M196" s="300"/>
      <c r="N196" s="301"/>
      <c r="P196" s="193" t="str">
        <f>IF(R196 = "", "", COUNT(R$4:$R196))</f>
        <v/>
      </c>
      <c r="Q196" s="193" t="str">
        <f t="shared" ref="Q196:Q259" si="31">IF(C196 &gt; 0, YEAR(B196), "")</f>
        <v/>
      </c>
      <c r="R196" s="194" t="str">
        <f t="shared" ref="R196:R259" si="32">IF(A196="", "", IF(G196="",1,IF(G196="O",1,IF(G196="C",8.4,IF(G196="B",8.4,IF(G196="A",76.8,IF(G196="K",76.8,"ERR")))))))</f>
        <v/>
      </c>
      <c r="S196" s="195" t="str">
        <f t="shared" si="24"/>
        <v/>
      </c>
      <c r="T196" s="196" t="str">
        <f t="shared" si="25"/>
        <v/>
      </c>
      <c r="U196" s="197" t="str">
        <f t="shared" si="26"/>
        <v/>
      </c>
      <c r="V196" s="198" t="str">
        <f t="shared" ref="V196:V259" si="33">IF(IF(M196&lt;&gt;"",G196,"")=0, "O", IF(M196&lt;&gt;"",G196,""))</f>
        <v/>
      </c>
      <c r="W196" s="339" t="str">
        <f t="shared" si="27"/>
        <v/>
      </c>
      <c r="X196" s="341" t="str">
        <f t="shared" si="28"/>
        <v/>
      </c>
      <c r="Y196" s="277"/>
      <c r="AR196" t="str">
        <f t="shared" si="29"/>
        <v/>
      </c>
      <c r="AS196" t="str">
        <f t="shared" si="30"/>
        <v/>
      </c>
    </row>
    <row r="197" spans="1:45">
      <c r="A197" s="294"/>
      <c r="B197" s="295"/>
      <c r="C197" s="296"/>
      <c r="D197" s="296"/>
      <c r="E197" s="296"/>
      <c r="F197" s="296"/>
      <c r="G197" s="297"/>
      <c r="H197" s="303"/>
      <c r="I197" s="298"/>
      <c r="J197" s="298"/>
      <c r="K197" s="299"/>
      <c r="L197" s="304"/>
      <c r="M197" s="300"/>
      <c r="N197" s="301"/>
      <c r="P197" s="193" t="str">
        <f>IF(R197 = "", "", COUNT(R$4:$R197))</f>
        <v/>
      </c>
      <c r="Q197" s="193" t="str">
        <f t="shared" si="31"/>
        <v/>
      </c>
      <c r="R197" s="194" t="str">
        <f t="shared" si="32"/>
        <v/>
      </c>
      <c r="S197" s="195" t="str">
        <f t="shared" ref="S197:S260" si="34">IF(L197&lt;&gt;"",R197,"")</f>
        <v/>
      </c>
      <c r="T197" s="196" t="str">
        <f t="shared" ref="T197:T260" si="35">IF(IF(L197&lt;&gt;"",G197,"")=0, "O", IF(L197&lt;&gt;"",G197,""))</f>
        <v/>
      </c>
      <c r="U197" s="197" t="str">
        <f t="shared" ref="U197:U260" si="36">IF(M197&lt;&gt;"",R197,"")</f>
        <v/>
      </c>
      <c r="V197" s="198" t="str">
        <f t="shared" si="33"/>
        <v/>
      </c>
      <c r="W197" s="339" t="str">
        <f t="shared" ref="W197:W260" si="37">IF(N197&lt;&gt;"",R197,"")</f>
        <v/>
      </c>
      <c r="X197" s="341" t="str">
        <f t="shared" ref="X197:X260" si="38">IF(IF(N197&lt;&gt;"",G197,"")=0, "O", IF(N197&lt;&gt;"",G197,""))</f>
        <v/>
      </c>
      <c r="Y197" s="277"/>
      <c r="AR197" t="str">
        <f t="shared" ref="AR197:AR260" si="39">IF(P197&gt;0, P197, "")</f>
        <v/>
      </c>
      <c r="AS197" t="str">
        <f t="shared" ref="AS197:AS260" si="40">IF(OR(L197="Y",M197="Y",N197="Y"),"Y","")</f>
        <v/>
      </c>
    </row>
    <row r="198" spans="1:45">
      <c r="A198" s="294"/>
      <c r="B198" s="295"/>
      <c r="C198" s="296"/>
      <c r="D198" s="296"/>
      <c r="E198" s="296"/>
      <c r="F198" s="296"/>
      <c r="G198" s="297"/>
      <c r="H198" s="303"/>
      <c r="I198" s="298"/>
      <c r="J198" s="298"/>
      <c r="K198" s="299"/>
      <c r="L198" s="304"/>
      <c r="M198" s="300"/>
      <c r="N198" s="301"/>
      <c r="P198" s="193" t="str">
        <f>IF(R198 = "", "", COUNT(R$4:$R198))</f>
        <v/>
      </c>
      <c r="Q198" s="193" t="str">
        <f t="shared" si="31"/>
        <v/>
      </c>
      <c r="R198" s="194" t="str">
        <f t="shared" si="32"/>
        <v/>
      </c>
      <c r="S198" s="195" t="str">
        <f t="shared" si="34"/>
        <v/>
      </c>
      <c r="T198" s="196" t="str">
        <f t="shared" si="35"/>
        <v/>
      </c>
      <c r="U198" s="197" t="str">
        <f t="shared" si="36"/>
        <v/>
      </c>
      <c r="V198" s="198" t="str">
        <f t="shared" si="33"/>
        <v/>
      </c>
      <c r="W198" s="339" t="str">
        <f t="shared" si="37"/>
        <v/>
      </c>
      <c r="X198" s="341" t="str">
        <f t="shared" si="38"/>
        <v/>
      </c>
      <c r="Y198" s="277"/>
      <c r="AR198" t="str">
        <f t="shared" si="39"/>
        <v/>
      </c>
      <c r="AS198" t="str">
        <f t="shared" si="40"/>
        <v/>
      </c>
    </row>
    <row r="199" spans="1:45">
      <c r="A199" s="294"/>
      <c r="B199" s="295"/>
      <c r="C199" s="296"/>
      <c r="D199" s="296"/>
      <c r="E199" s="296"/>
      <c r="F199" s="296"/>
      <c r="G199" s="297"/>
      <c r="H199" s="303"/>
      <c r="I199" s="298"/>
      <c r="J199" s="298"/>
      <c r="K199" s="299"/>
      <c r="L199" s="304"/>
      <c r="M199" s="300"/>
      <c r="N199" s="301"/>
      <c r="P199" s="193" t="str">
        <f>IF(R199 = "", "", COUNT(R$4:$R199))</f>
        <v/>
      </c>
      <c r="Q199" s="193" t="str">
        <f t="shared" si="31"/>
        <v/>
      </c>
      <c r="R199" s="194" t="str">
        <f t="shared" si="32"/>
        <v/>
      </c>
      <c r="S199" s="195" t="str">
        <f t="shared" si="34"/>
        <v/>
      </c>
      <c r="T199" s="196" t="str">
        <f t="shared" si="35"/>
        <v/>
      </c>
      <c r="U199" s="197" t="str">
        <f t="shared" si="36"/>
        <v/>
      </c>
      <c r="V199" s="198" t="str">
        <f t="shared" si="33"/>
        <v/>
      </c>
      <c r="W199" s="339" t="str">
        <f t="shared" si="37"/>
        <v/>
      </c>
      <c r="X199" s="341" t="str">
        <f t="shared" si="38"/>
        <v/>
      </c>
      <c r="Y199" s="277"/>
      <c r="AR199" t="str">
        <f t="shared" si="39"/>
        <v/>
      </c>
      <c r="AS199" t="str">
        <f t="shared" si="40"/>
        <v/>
      </c>
    </row>
    <row r="200" spans="1:45">
      <c r="A200" s="294"/>
      <c r="B200" s="295"/>
      <c r="C200" s="296"/>
      <c r="D200" s="296"/>
      <c r="E200" s="296"/>
      <c r="F200" s="296"/>
      <c r="G200" s="297"/>
      <c r="H200" s="303"/>
      <c r="I200" s="298"/>
      <c r="J200" s="298"/>
      <c r="K200" s="299"/>
      <c r="L200" s="304"/>
      <c r="M200" s="300"/>
      <c r="N200" s="301"/>
      <c r="P200" s="193" t="str">
        <f>IF(R200 = "", "", COUNT(R$4:$R200))</f>
        <v/>
      </c>
      <c r="Q200" s="193" t="str">
        <f t="shared" si="31"/>
        <v/>
      </c>
      <c r="R200" s="194" t="str">
        <f t="shared" si="32"/>
        <v/>
      </c>
      <c r="S200" s="195" t="str">
        <f t="shared" si="34"/>
        <v/>
      </c>
      <c r="T200" s="196" t="str">
        <f t="shared" si="35"/>
        <v/>
      </c>
      <c r="U200" s="197" t="str">
        <f t="shared" si="36"/>
        <v/>
      </c>
      <c r="V200" s="198" t="str">
        <f t="shared" si="33"/>
        <v/>
      </c>
      <c r="W200" s="339" t="str">
        <f t="shared" si="37"/>
        <v/>
      </c>
      <c r="X200" s="341" t="str">
        <f t="shared" si="38"/>
        <v/>
      </c>
      <c r="Y200" s="277"/>
      <c r="AR200" t="str">
        <f t="shared" si="39"/>
        <v/>
      </c>
      <c r="AS200" t="str">
        <f t="shared" si="40"/>
        <v/>
      </c>
    </row>
    <row r="201" spans="1:45">
      <c r="A201" s="294"/>
      <c r="B201" s="295"/>
      <c r="C201" s="296"/>
      <c r="D201" s="296"/>
      <c r="E201" s="296"/>
      <c r="F201" s="296"/>
      <c r="G201" s="297"/>
      <c r="H201" s="303"/>
      <c r="I201" s="298"/>
      <c r="J201" s="298"/>
      <c r="K201" s="299"/>
      <c r="L201" s="304"/>
      <c r="M201" s="300"/>
      <c r="N201" s="301"/>
      <c r="P201" s="193" t="str">
        <f>IF(R201 = "", "", COUNT(R$4:$R201))</f>
        <v/>
      </c>
      <c r="Q201" s="193" t="str">
        <f t="shared" si="31"/>
        <v/>
      </c>
      <c r="R201" s="194" t="str">
        <f t="shared" si="32"/>
        <v/>
      </c>
      <c r="S201" s="195" t="str">
        <f t="shared" si="34"/>
        <v/>
      </c>
      <c r="T201" s="196" t="str">
        <f t="shared" si="35"/>
        <v/>
      </c>
      <c r="U201" s="197" t="str">
        <f t="shared" si="36"/>
        <v/>
      </c>
      <c r="V201" s="198" t="str">
        <f t="shared" si="33"/>
        <v/>
      </c>
      <c r="W201" s="339" t="str">
        <f t="shared" si="37"/>
        <v/>
      </c>
      <c r="X201" s="341" t="str">
        <f t="shared" si="38"/>
        <v/>
      </c>
      <c r="Y201" s="277"/>
      <c r="AR201" t="str">
        <f t="shared" si="39"/>
        <v/>
      </c>
      <c r="AS201" t="str">
        <f t="shared" si="40"/>
        <v/>
      </c>
    </row>
    <row r="202" spans="1:45">
      <c r="A202" s="294"/>
      <c r="B202" s="295"/>
      <c r="C202" s="296"/>
      <c r="D202" s="296"/>
      <c r="E202" s="296"/>
      <c r="F202" s="296"/>
      <c r="G202" s="297"/>
      <c r="H202" s="303"/>
      <c r="I202" s="298"/>
      <c r="J202" s="298"/>
      <c r="K202" s="299"/>
      <c r="L202" s="304"/>
      <c r="M202" s="300"/>
      <c r="N202" s="301"/>
      <c r="P202" s="193" t="str">
        <f>IF(R202 = "", "", COUNT(R$4:$R202))</f>
        <v/>
      </c>
      <c r="Q202" s="193" t="str">
        <f t="shared" si="31"/>
        <v/>
      </c>
      <c r="R202" s="194" t="str">
        <f t="shared" si="32"/>
        <v/>
      </c>
      <c r="S202" s="195" t="str">
        <f t="shared" si="34"/>
        <v/>
      </c>
      <c r="T202" s="196" t="str">
        <f t="shared" si="35"/>
        <v/>
      </c>
      <c r="U202" s="197" t="str">
        <f t="shared" si="36"/>
        <v/>
      </c>
      <c r="V202" s="198" t="str">
        <f t="shared" si="33"/>
        <v/>
      </c>
      <c r="W202" s="339" t="str">
        <f t="shared" si="37"/>
        <v/>
      </c>
      <c r="X202" s="341" t="str">
        <f t="shared" si="38"/>
        <v/>
      </c>
      <c r="Y202" s="277"/>
      <c r="AR202" t="str">
        <f t="shared" si="39"/>
        <v/>
      </c>
      <c r="AS202" t="str">
        <f t="shared" si="40"/>
        <v/>
      </c>
    </row>
    <row r="203" spans="1:45">
      <c r="A203" s="294"/>
      <c r="B203" s="295"/>
      <c r="C203" s="296"/>
      <c r="D203" s="296"/>
      <c r="E203" s="296"/>
      <c r="F203" s="296"/>
      <c r="G203" s="297"/>
      <c r="H203" s="303"/>
      <c r="I203" s="298"/>
      <c r="J203" s="298"/>
      <c r="K203" s="299"/>
      <c r="L203" s="304"/>
      <c r="M203" s="300"/>
      <c r="N203" s="301"/>
      <c r="P203" s="193" t="str">
        <f>IF(R203 = "", "", COUNT(R$4:$R203))</f>
        <v/>
      </c>
      <c r="Q203" s="193" t="str">
        <f t="shared" si="31"/>
        <v/>
      </c>
      <c r="R203" s="194" t="str">
        <f t="shared" si="32"/>
        <v/>
      </c>
      <c r="S203" s="195" t="str">
        <f t="shared" si="34"/>
        <v/>
      </c>
      <c r="T203" s="196" t="str">
        <f t="shared" si="35"/>
        <v/>
      </c>
      <c r="U203" s="197" t="str">
        <f t="shared" si="36"/>
        <v/>
      </c>
      <c r="V203" s="198" t="str">
        <f t="shared" si="33"/>
        <v/>
      </c>
      <c r="W203" s="339" t="str">
        <f t="shared" si="37"/>
        <v/>
      </c>
      <c r="X203" s="341" t="str">
        <f t="shared" si="38"/>
        <v/>
      </c>
      <c r="Y203" s="277"/>
      <c r="AR203" t="str">
        <f t="shared" si="39"/>
        <v/>
      </c>
      <c r="AS203" t="str">
        <f t="shared" si="40"/>
        <v/>
      </c>
    </row>
    <row r="204" spans="1:45">
      <c r="A204" s="294"/>
      <c r="B204" s="295"/>
      <c r="C204" s="296"/>
      <c r="D204" s="296"/>
      <c r="E204" s="296"/>
      <c r="F204" s="296"/>
      <c r="G204" s="297"/>
      <c r="H204" s="303"/>
      <c r="I204" s="298"/>
      <c r="J204" s="298"/>
      <c r="K204" s="299"/>
      <c r="L204" s="304"/>
      <c r="M204" s="300"/>
      <c r="N204" s="301"/>
      <c r="P204" s="193" t="str">
        <f>IF(R204 = "", "", COUNT(R$4:$R204))</f>
        <v/>
      </c>
      <c r="Q204" s="193" t="str">
        <f t="shared" si="31"/>
        <v/>
      </c>
      <c r="R204" s="194" t="str">
        <f t="shared" si="32"/>
        <v/>
      </c>
      <c r="S204" s="195" t="str">
        <f t="shared" si="34"/>
        <v/>
      </c>
      <c r="T204" s="196" t="str">
        <f t="shared" si="35"/>
        <v/>
      </c>
      <c r="U204" s="197" t="str">
        <f t="shared" si="36"/>
        <v/>
      </c>
      <c r="V204" s="198" t="str">
        <f t="shared" si="33"/>
        <v/>
      </c>
      <c r="W204" s="339" t="str">
        <f t="shared" si="37"/>
        <v/>
      </c>
      <c r="X204" s="341" t="str">
        <f t="shared" si="38"/>
        <v/>
      </c>
      <c r="Y204" s="277"/>
      <c r="AR204" t="str">
        <f t="shared" si="39"/>
        <v/>
      </c>
      <c r="AS204" t="str">
        <f t="shared" si="40"/>
        <v/>
      </c>
    </row>
    <row r="205" spans="1:45">
      <c r="A205" s="294"/>
      <c r="B205" s="295"/>
      <c r="C205" s="296"/>
      <c r="D205" s="296"/>
      <c r="E205" s="296"/>
      <c r="F205" s="296"/>
      <c r="G205" s="297"/>
      <c r="H205" s="303"/>
      <c r="I205" s="298"/>
      <c r="J205" s="298"/>
      <c r="K205" s="299"/>
      <c r="L205" s="304"/>
      <c r="M205" s="300"/>
      <c r="N205" s="301"/>
      <c r="P205" s="193" t="str">
        <f>IF(R205 = "", "", COUNT(R$4:$R205))</f>
        <v/>
      </c>
      <c r="Q205" s="193" t="str">
        <f t="shared" si="31"/>
        <v/>
      </c>
      <c r="R205" s="194" t="str">
        <f t="shared" si="32"/>
        <v/>
      </c>
      <c r="S205" s="195" t="str">
        <f t="shared" si="34"/>
        <v/>
      </c>
      <c r="T205" s="196" t="str">
        <f t="shared" si="35"/>
        <v/>
      </c>
      <c r="U205" s="197" t="str">
        <f t="shared" si="36"/>
        <v/>
      </c>
      <c r="V205" s="198" t="str">
        <f t="shared" si="33"/>
        <v/>
      </c>
      <c r="W205" s="339" t="str">
        <f t="shared" si="37"/>
        <v/>
      </c>
      <c r="X205" s="341" t="str">
        <f t="shared" si="38"/>
        <v/>
      </c>
      <c r="Y205" s="277"/>
      <c r="AR205" t="str">
        <f t="shared" si="39"/>
        <v/>
      </c>
      <c r="AS205" t="str">
        <f t="shared" si="40"/>
        <v/>
      </c>
    </row>
    <row r="206" spans="1:45">
      <c r="A206" s="294"/>
      <c r="B206" s="295"/>
      <c r="C206" s="296"/>
      <c r="D206" s="296"/>
      <c r="E206" s="296"/>
      <c r="F206" s="296"/>
      <c r="G206" s="297"/>
      <c r="H206" s="303"/>
      <c r="I206" s="298"/>
      <c r="J206" s="298"/>
      <c r="K206" s="299"/>
      <c r="L206" s="304"/>
      <c r="M206" s="300"/>
      <c r="N206" s="301"/>
      <c r="P206" s="193" t="str">
        <f>IF(R206 = "", "", COUNT(R$4:$R206))</f>
        <v/>
      </c>
      <c r="Q206" s="193" t="str">
        <f t="shared" si="31"/>
        <v/>
      </c>
      <c r="R206" s="194" t="str">
        <f t="shared" si="32"/>
        <v/>
      </c>
      <c r="S206" s="195" t="str">
        <f t="shared" si="34"/>
        <v/>
      </c>
      <c r="T206" s="196" t="str">
        <f t="shared" si="35"/>
        <v/>
      </c>
      <c r="U206" s="197" t="str">
        <f t="shared" si="36"/>
        <v/>
      </c>
      <c r="V206" s="198" t="str">
        <f t="shared" si="33"/>
        <v/>
      </c>
      <c r="W206" s="339" t="str">
        <f t="shared" si="37"/>
        <v/>
      </c>
      <c r="X206" s="341" t="str">
        <f t="shared" si="38"/>
        <v/>
      </c>
      <c r="Y206" s="277"/>
      <c r="AR206" t="str">
        <f t="shared" si="39"/>
        <v/>
      </c>
      <c r="AS206" t="str">
        <f t="shared" si="40"/>
        <v/>
      </c>
    </row>
    <row r="207" spans="1:45">
      <c r="A207" s="294"/>
      <c r="B207" s="295"/>
      <c r="C207" s="296"/>
      <c r="D207" s="296"/>
      <c r="E207" s="296"/>
      <c r="F207" s="296"/>
      <c r="G207" s="297"/>
      <c r="H207" s="303"/>
      <c r="I207" s="298"/>
      <c r="J207" s="298"/>
      <c r="K207" s="299"/>
      <c r="L207" s="304"/>
      <c r="M207" s="300"/>
      <c r="N207" s="301"/>
      <c r="P207" s="193" t="str">
        <f>IF(R207 = "", "", COUNT(R$4:$R207))</f>
        <v/>
      </c>
      <c r="Q207" s="193" t="str">
        <f t="shared" si="31"/>
        <v/>
      </c>
      <c r="R207" s="194" t="str">
        <f t="shared" si="32"/>
        <v/>
      </c>
      <c r="S207" s="195" t="str">
        <f t="shared" si="34"/>
        <v/>
      </c>
      <c r="T207" s="196" t="str">
        <f t="shared" si="35"/>
        <v/>
      </c>
      <c r="U207" s="197" t="str">
        <f t="shared" si="36"/>
        <v/>
      </c>
      <c r="V207" s="198" t="str">
        <f t="shared" si="33"/>
        <v/>
      </c>
      <c r="W207" s="339" t="str">
        <f t="shared" si="37"/>
        <v/>
      </c>
      <c r="X207" s="341" t="str">
        <f t="shared" si="38"/>
        <v/>
      </c>
      <c r="Y207" s="277"/>
      <c r="AR207" t="str">
        <f t="shared" si="39"/>
        <v/>
      </c>
      <c r="AS207" t="str">
        <f t="shared" si="40"/>
        <v/>
      </c>
    </row>
    <row r="208" spans="1:45">
      <c r="A208" s="294"/>
      <c r="B208" s="295"/>
      <c r="C208" s="296"/>
      <c r="D208" s="296"/>
      <c r="E208" s="296"/>
      <c r="F208" s="296"/>
      <c r="G208" s="297"/>
      <c r="H208" s="303"/>
      <c r="I208" s="298"/>
      <c r="J208" s="298"/>
      <c r="K208" s="299"/>
      <c r="L208" s="304"/>
      <c r="M208" s="300"/>
      <c r="N208" s="301"/>
      <c r="P208" s="193" t="str">
        <f>IF(R208 = "", "", COUNT(R$4:$R208))</f>
        <v/>
      </c>
      <c r="Q208" s="193" t="str">
        <f t="shared" si="31"/>
        <v/>
      </c>
      <c r="R208" s="194" t="str">
        <f t="shared" si="32"/>
        <v/>
      </c>
      <c r="S208" s="195" t="str">
        <f t="shared" si="34"/>
        <v/>
      </c>
      <c r="T208" s="196" t="str">
        <f t="shared" si="35"/>
        <v/>
      </c>
      <c r="U208" s="197" t="str">
        <f t="shared" si="36"/>
        <v/>
      </c>
      <c r="V208" s="198" t="str">
        <f t="shared" si="33"/>
        <v/>
      </c>
      <c r="W208" s="339" t="str">
        <f t="shared" si="37"/>
        <v/>
      </c>
      <c r="X208" s="341" t="str">
        <f t="shared" si="38"/>
        <v/>
      </c>
      <c r="Y208" s="277"/>
      <c r="AR208" t="str">
        <f t="shared" si="39"/>
        <v/>
      </c>
      <c r="AS208" t="str">
        <f t="shared" si="40"/>
        <v/>
      </c>
    </row>
    <row r="209" spans="1:45">
      <c r="A209" s="294"/>
      <c r="B209" s="295"/>
      <c r="C209" s="296"/>
      <c r="D209" s="296"/>
      <c r="E209" s="296"/>
      <c r="F209" s="296"/>
      <c r="G209" s="297"/>
      <c r="H209" s="303"/>
      <c r="I209" s="298"/>
      <c r="J209" s="298"/>
      <c r="K209" s="299"/>
      <c r="L209" s="304"/>
      <c r="M209" s="300"/>
      <c r="N209" s="301"/>
      <c r="P209" s="193" t="str">
        <f>IF(R209 = "", "", COUNT(R$4:$R209))</f>
        <v/>
      </c>
      <c r="Q209" s="193" t="str">
        <f t="shared" si="31"/>
        <v/>
      </c>
      <c r="R209" s="194" t="str">
        <f t="shared" si="32"/>
        <v/>
      </c>
      <c r="S209" s="195" t="str">
        <f t="shared" si="34"/>
        <v/>
      </c>
      <c r="T209" s="196" t="str">
        <f t="shared" si="35"/>
        <v/>
      </c>
      <c r="U209" s="197" t="str">
        <f t="shared" si="36"/>
        <v/>
      </c>
      <c r="V209" s="198" t="str">
        <f t="shared" si="33"/>
        <v/>
      </c>
      <c r="W209" s="339" t="str">
        <f t="shared" si="37"/>
        <v/>
      </c>
      <c r="X209" s="341" t="str">
        <f t="shared" si="38"/>
        <v/>
      </c>
      <c r="Y209" s="277"/>
      <c r="AR209" t="str">
        <f t="shared" si="39"/>
        <v/>
      </c>
      <c r="AS209" t="str">
        <f t="shared" si="40"/>
        <v/>
      </c>
    </row>
    <row r="210" spans="1:45">
      <c r="A210" s="294"/>
      <c r="B210" s="295"/>
      <c r="C210" s="296"/>
      <c r="D210" s="296"/>
      <c r="E210" s="296"/>
      <c r="F210" s="296"/>
      <c r="G210" s="297"/>
      <c r="H210" s="303"/>
      <c r="I210" s="298"/>
      <c r="J210" s="298"/>
      <c r="K210" s="299"/>
      <c r="L210" s="304"/>
      <c r="M210" s="300"/>
      <c r="N210" s="301"/>
      <c r="P210" s="193" t="str">
        <f>IF(R210 = "", "", COUNT(R$4:$R210))</f>
        <v/>
      </c>
      <c r="Q210" s="193" t="str">
        <f t="shared" si="31"/>
        <v/>
      </c>
      <c r="R210" s="194" t="str">
        <f t="shared" si="32"/>
        <v/>
      </c>
      <c r="S210" s="195" t="str">
        <f t="shared" si="34"/>
        <v/>
      </c>
      <c r="T210" s="196" t="str">
        <f t="shared" si="35"/>
        <v/>
      </c>
      <c r="U210" s="197" t="str">
        <f t="shared" si="36"/>
        <v/>
      </c>
      <c r="V210" s="198" t="str">
        <f t="shared" si="33"/>
        <v/>
      </c>
      <c r="W210" s="339" t="str">
        <f t="shared" si="37"/>
        <v/>
      </c>
      <c r="X210" s="341" t="str">
        <f t="shared" si="38"/>
        <v/>
      </c>
      <c r="Y210" s="277"/>
      <c r="AR210" t="str">
        <f t="shared" si="39"/>
        <v/>
      </c>
      <c r="AS210" t="str">
        <f t="shared" si="40"/>
        <v/>
      </c>
    </row>
    <row r="211" spans="1:45">
      <c r="A211" s="294"/>
      <c r="B211" s="295"/>
      <c r="C211" s="296"/>
      <c r="D211" s="296"/>
      <c r="E211" s="296"/>
      <c r="F211" s="296"/>
      <c r="G211" s="297"/>
      <c r="H211" s="303"/>
      <c r="I211" s="298"/>
      <c r="J211" s="298"/>
      <c r="K211" s="299"/>
      <c r="L211" s="304"/>
      <c r="M211" s="300"/>
      <c r="N211" s="301"/>
      <c r="P211" s="193" t="str">
        <f>IF(R211 = "", "", COUNT(R$4:$R211))</f>
        <v/>
      </c>
      <c r="Q211" s="193" t="str">
        <f t="shared" si="31"/>
        <v/>
      </c>
      <c r="R211" s="194" t="str">
        <f t="shared" si="32"/>
        <v/>
      </c>
      <c r="S211" s="195" t="str">
        <f t="shared" si="34"/>
        <v/>
      </c>
      <c r="T211" s="196" t="str">
        <f t="shared" si="35"/>
        <v/>
      </c>
      <c r="U211" s="197" t="str">
        <f t="shared" si="36"/>
        <v/>
      </c>
      <c r="V211" s="198" t="str">
        <f t="shared" si="33"/>
        <v/>
      </c>
      <c r="W211" s="339" t="str">
        <f t="shared" si="37"/>
        <v/>
      </c>
      <c r="X211" s="341" t="str">
        <f t="shared" si="38"/>
        <v/>
      </c>
      <c r="Y211" s="277"/>
      <c r="AR211" t="str">
        <f t="shared" si="39"/>
        <v/>
      </c>
      <c r="AS211" t="str">
        <f t="shared" si="40"/>
        <v/>
      </c>
    </row>
    <row r="212" spans="1:45">
      <c r="A212" s="294"/>
      <c r="B212" s="295"/>
      <c r="C212" s="296"/>
      <c r="D212" s="296"/>
      <c r="E212" s="296"/>
      <c r="F212" s="296"/>
      <c r="G212" s="297"/>
      <c r="H212" s="303"/>
      <c r="I212" s="298"/>
      <c r="J212" s="298"/>
      <c r="K212" s="299"/>
      <c r="L212" s="304"/>
      <c r="M212" s="300"/>
      <c r="N212" s="301"/>
      <c r="P212" s="193" t="str">
        <f>IF(R212 = "", "", COUNT(R$4:$R212))</f>
        <v/>
      </c>
      <c r="Q212" s="193" t="str">
        <f t="shared" si="31"/>
        <v/>
      </c>
      <c r="R212" s="194" t="str">
        <f t="shared" si="32"/>
        <v/>
      </c>
      <c r="S212" s="195" t="str">
        <f t="shared" si="34"/>
        <v/>
      </c>
      <c r="T212" s="196" t="str">
        <f t="shared" si="35"/>
        <v/>
      </c>
      <c r="U212" s="197" t="str">
        <f t="shared" si="36"/>
        <v/>
      </c>
      <c r="V212" s="198" t="str">
        <f t="shared" si="33"/>
        <v/>
      </c>
      <c r="W212" s="339" t="str">
        <f t="shared" si="37"/>
        <v/>
      </c>
      <c r="X212" s="341" t="str">
        <f t="shared" si="38"/>
        <v/>
      </c>
      <c r="Y212" s="277"/>
      <c r="AR212" t="str">
        <f t="shared" si="39"/>
        <v/>
      </c>
      <c r="AS212" t="str">
        <f t="shared" si="40"/>
        <v/>
      </c>
    </row>
    <row r="213" spans="1:45">
      <c r="A213" s="294"/>
      <c r="B213" s="295"/>
      <c r="C213" s="296"/>
      <c r="D213" s="296"/>
      <c r="E213" s="296"/>
      <c r="F213" s="296"/>
      <c r="G213" s="297"/>
      <c r="H213" s="303"/>
      <c r="I213" s="298"/>
      <c r="J213" s="298"/>
      <c r="K213" s="299"/>
      <c r="L213" s="304"/>
      <c r="M213" s="300"/>
      <c r="N213" s="301"/>
      <c r="P213" s="193" t="str">
        <f>IF(R213 = "", "", COUNT(R$4:$R213))</f>
        <v/>
      </c>
      <c r="Q213" s="193" t="str">
        <f t="shared" si="31"/>
        <v/>
      </c>
      <c r="R213" s="194" t="str">
        <f t="shared" si="32"/>
        <v/>
      </c>
      <c r="S213" s="195" t="str">
        <f t="shared" si="34"/>
        <v/>
      </c>
      <c r="T213" s="196" t="str">
        <f t="shared" si="35"/>
        <v/>
      </c>
      <c r="U213" s="197" t="str">
        <f t="shared" si="36"/>
        <v/>
      </c>
      <c r="V213" s="198" t="str">
        <f t="shared" si="33"/>
        <v/>
      </c>
      <c r="W213" s="339" t="str">
        <f t="shared" si="37"/>
        <v/>
      </c>
      <c r="X213" s="341" t="str">
        <f t="shared" si="38"/>
        <v/>
      </c>
      <c r="Y213" s="277"/>
      <c r="AR213" t="str">
        <f t="shared" si="39"/>
        <v/>
      </c>
      <c r="AS213" t="str">
        <f t="shared" si="40"/>
        <v/>
      </c>
    </row>
    <row r="214" spans="1:45">
      <c r="A214" s="294"/>
      <c r="B214" s="295"/>
      <c r="C214" s="296"/>
      <c r="D214" s="296"/>
      <c r="E214" s="296"/>
      <c r="F214" s="296"/>
      <c r="G214" s="297"/>
      <c r="H214" s="303"/>
      <c r="I214" s="298"/>
      <c r="J214" s="298"/>
      <c r="K214" s="299"/>
      <c r="L214" s="304"/>
      <c r="M214" s="300"/>
      <c r="N214" s="301"/>
      <c r="P214" s="193" t="str">
        <f>IF(R214 = "", "", COUNT(R$4:$R214))</f>
        <v/>
      </c>
      <c r="Q214" s="193" t="str">
        <f t="shared" si="31"/>
        <v/>
      </c>
      <c r="R214" s="194" t="str">
        <f t="shared" si="32"/>
        <v/>
      </c>
      <c r="S214" s="195" t="str">
        <f t="shared" si="34"/>
        <v/>
      </c>
      <c r="T214" s="196" t="str">
        <f t="shared" si="35"/>
        <v/>
      </c>
      <c r="U214" s="197" t="str">
        <f t="shared" si="36"/>
        <v/>
      </c>
      <c r="V214" s="198" t="str">
        <f t="shared" si="33"/>
        <v/>
      </c>
      <c r="W214" s="339" t="str">
        <f t="shared" si="37"/>
        <v/>
      </c>
      <c r="X214" s="341" t="str">
        <f t="shared" si="38"/>
        <v/>
      </c>
      <c r="Y214" s="277"/>
      <c r="AR214" t="str">
        <f t="shared" si="39"/>
        <v/>
      </c>
      <c r="AS214" t="str">
        <f t="shared" si="40"/>
        <v/>
      </c>
    </row>
    <row r="215" spans="1:45">
      <c r="A215" s="294"/>
      <c r="B215" s="295"/>
      <c r="C215" s="296"/>
      <c r="D215" s="296"/>
      <c r="E215" s="296"/>
      <c r="F215" s="296"/>
      <c r="G215" s="297"/>
      <c r="H215" s="303"/>
      <c r="I215" s="298"/>
      <c r="J215" s="298"/>
      <c r="K215" s="299"/>
      <c r="L215" s="304"/>
      <c r="M215" s="300"/>
      <c r="N215" s="301"/>
      <c r="P215" s="193" t="str">
        <f>IF(R215 = "", "", COUNT(R$4:$R215))</f>
        <v/>
      </c>
      <c r="Q215" s="193" t="str">
        <f t="shared" si="31"/>
        <v/>
      </c>
      <c r="R215" s="194" t="str">
        <f t="shared" si="32"/>
        <v/>
      </c>
      <c r="S215" s="195" t="str">
        <f t="shared" si="34"/>
        <v/>
      </c>
      <c r="T215" s="196" t="str">
        <f t="shared" si="35"/>
        <v/>
      </c>
      <c r="U215" s="197" t="str">
        <f t="shared" si="36"/>
        <v/>
      </c>
      <c r="V215" s="198" t="str">
        <f t="shared" si="33"/>
        <v/>
      </c>
      <c r="W215" s="339" t="str">
        <f t="shared" si="37"/>
        <v/>
      </c>
      <c r="X215" s="341" t="str">
        <f t="shared" si="38"/>
        <v/>
      </c>
      <c r="Y215" s="277"/>
      <c r="AR215" t="str">
        <f t="shared" si="39"/>
        <v/>
      </c>
      <c r="AS215" t="str">
        <f t="shared" si="40"/>
        <v/>
      </c>
    </row>
    <row r="216" spans="1:45">
      <c r="A216" s="294"/>
      <c r="B216" s="295"/>
      <c r="C216" s="296"/>
      <c r="D216" s="296"/>
      <c r="E216" s="296"/>
      <c r="F216" s="296"/>
      <c r="G216" s="297"/>
      <c r="H216" s="303"/>
      <c r="I216" s="298"/>
      <c r="J216" s="298"/>
      <c r="K216" s="299"/>
      <c r="L216" s="304"/>
      <c r="M216" s="300"/>
      <c r="N216" s="301"/>
      <c r="P216" s="193" t="str">
        <f>IF(R216 = "", "", COUNT(R$4:$R216))</f>
        <v/>
      </c>
      <c r="Q216" s="193" t="str">
        <f t="shared" si="31"/>
        <v/>
      </c>
      <c r="R216" s="194" t="str">
        <f t="shared" si="32"/>
        <v/>
      </c>
      <c r="S216" s="195" t="str">
        <f t="shared" si="34"/>
        <v/>
      </c>
      <c r="T216" s="196" t="str">
        <f t="shared" si="35"/>
        <v/>
      </c>
      <c r="U216" s="197" t="str">
        <f t="shared" si="36"/>
        <v/>
      </c>
      <c r="V216" s="198" t="str">
        <f t="shared" si="33"/>
        <v/>
      </c>
      <c r="W216" s="339" t="str">
        <f t="shared" si="37"/>
        <v/>
      </c>
      <c r="X216" s="341" t="str">
        <f t="shared" si="38"/>
        <v/>
      </c>
      <c r="Y216" s="277"/>
      <c r="AR216" t="str">
        <f t="shared" si="39"/>
        <v/>
      </c>
      <c r="AS216" t="str">
        <f t="shared" si="40"/>
        <v/>
      </c>
    </row>
    <row r="217" spans="1:45">
      <c r="A217" s="294"/>
      <c r="B217" s="295"/>
      <c r="C217" s="296"/>
      <c r="D217" s="296"/>
      <c r="E217" s="296"/>
      <c r="F217" s="296"/>
      <c r="G217" s="297"/>
      <c r="H217" s="303"/>
      <c r="I217" s="298"/>
      <c r="J217" s="298"/>
      <c r="K217" s="299"/>
      <c r="L217" s="304"/>
      <c r="M217" s="300"/>
      <c r="N217" s="301"/>
      <c r="P217" s="193" t="str">
        <f>IF(R217 = "", "", COUNT(R$4:$R217))</f>
        <v/>
      </c>
      <c r="Q217" s="193" t="str">
        <f t="shared" si="31"/>
        <v/>
      </c>
      <c r="R217" s="194" t="str">
        <f t="shared" si="32"/>
        <v/>
      </c>
      <c r="S217" s="195" t="str">
        <f t="shared" si="34"/>
        <v/>
      </c>
      <c r="T217" s="196" t="str">
        <f t="shared" si="35"/>
        <v/>
      </c>
      <c r="U217" s="197" t="str">
        <f t="shared" si="36"/>
        <v/>
      </c>
      <c r="V217" s="198" t="str">
        <f t="shared" si="33"/>
        <v/>
      </c>
      <c r="W217" s="339" t="str">
        <f t="shared" si="37"/>
        <v/>
      </c>
      <c r="X217" s="341" t="str">
        <f t="shared" si="38"/>
        <v/>
      </c>
      <c r="Y217" s="277"/>
      <c r="AR217" t="str">
        <f t="shared" si="39"/>
        <v/>
      </c>
      <c r="AS217" t="str">
        <f t="shared" si="40"/>
        <v/>
      </c>
    </row>
    <row r="218" spans="1:45">
      <c r="A218" s="294"/>
      <c r="B218" s="295"/>
      <c r="C218" s="296"/>
      <c r="D218" s="296"/>
      <c r="E218" s="296"/>
      <c r="F218" s="296"/>
      <c r="G218" s="297"/>
      <c r="H218" s="303"/>
      <c r="I218" s="298"/>
      <c r="J218" s="298"/>
      <c r="K218" s="299"/>
      <c r="L218" s="304"/>
      <c r="M218" s="300"/>
      <c r="N218" s="301"/>
      <c r="P218" s="193" t="str">
        <f>IF(R218 = "", "", COUNT(R$4:$R218))</f>
        <v/>
      </c>
      <c r="Q218" s="193" t="str">
        <f t="shared" si="31"/>
        <v/>
      </c>
      <c r="R218" s="194" t="str">
        <f t="shared" si="32"/>
        <v/>
      </c>
      <c r="S218" s="195" t="str">
        <f t="shared" si="34"/>
        <v/>
      </c>
      <c r="T218" s="196" t="str">
        <f t="shared" si="35"/>
        <v/>
      </c>
      <c r="U218" s="197" t="str">
        <f t="shared" si="36"/>
        <v/>
      </c>
      <c r="V218" s="198" t="str">
        <f t="shared" si="33"/>
        <v/>
      </c>
      <c r="W218" s="339" t="str">
        <f t="shared" si="37"/>
        <v/>
      </c>
      <c r="X218" s="341" t="str">
        <f t="shared" si="38"/>
        <v/>
      </c>
      <c r="Y218" s="277"/>
      <c r="AR218" t="str">
        <f t="shared" si="39"/>
        <v/>
      </c>
      <c r="AS218" t="str">
        <f t="shared" si="40"/>
        <v/>
      </c>
    </row>
    <row r="219" spans="1:45">
      <c r="A219" s="294"/>
      <c r="B219" s="295"/>
      <c r="C219" s="296"/>
      <c r="D219" s="296"/>
      <c r="E219" s="296"/>
      <c r="F219" s="296"/>
      <c r="G219" s="297"/>
      <c r="H219" s="303"/>
      <c r="I219" s="298"/>
      <c r="J219" s="298"/>
      <c r="K219" s="299"/>
      <c r="L219" s="304"/>
      <c r="M219" s="300"/>
      <c r="N219" s="301"/>
      <c r="P219" s="193" t="str">
        <f>IF(R219 = "", "", COUNT(R$4:$R219))</f>
        <v/>
      </c>
      <c r="Q219" s="193" t="str">
        <f t="shared" si="31"/>
        <v/>
      </c>
      <c r="R219" s="194" t="str">
        <f t="shared" si="32"/>
        <v/>
      </c>
      <c r="S219" s="195" t="str">
        <f t="shared" si="34"/>
        <v/>
      </c>
      <c r="T219" s="196" t="str">
        <f t="shared" si="35"/>
        <v/>
      </c>
      <c r="U219" s="197" t="str">
        <f t="shared" si="36"/>
        <v/>
      </c>
      <c r="V219" s="198" t="str">
        <f t="shared" si="33"/>
        <v/>
      </c>
      <c r="W219" s="339" t="str">
        <f t="shared" si="37"/>
        <v/>
      </c>
      <c r="X219" s="341" t="str">
        <f t="shared" si="38"/>
        <v/>
      </c>
      <c r="Y219" s="277"/>
      <c r="AR219" t="str">
        <f t="shared" si="39"/>
        <v/>
      </c>
      <c r="AS219" t="str">
        <f t="shared" si="40"/>
        <v/>
      </c>
    </row>
    <row r="220" spans="1:45">
      <c r="A220" s="294"/>
      <c r="B220" s="295"/>
      <c r="C220" s="296"/>
      <c r="D220" s="296"/>
      <c r="E220" s="296"/>
      <c r="F220" s="296"/>
      <c r="G220" s="297"/>
      <c r="H220" s="303"/>
      <c r="I220" s="298"/>
      <c r="J220" s="298"/>
      <c r="K220" s="299"/>
      <c r="L220" s="304"/>
      <c r="M220" s="300"/>
      <c r="N220" s="301"/>
      <c r="P220" s="193" t="str">
        <f>IF(R220 = "", "", COUNT(R$4:$R220))</f>
        <v/>
      </c>
      <c r="Q220" s="193" t="str">
        <f t="shared" si="31"/>
        <v/>
      </c>
      <c r="R220" s="194" t="str">
        <f t="shared" si="32"/>
        <v/>
      </c>
      <c r="S220" s="195" t="str">
        <f t="shared" si="34"/>
        <v/>
      </c>
      <c r="T220" s="196" t="str">
        <f t="shared" si="35"/>
        <v/>
      </c>
      <c r="U220" s="197" t="str">
        <f t="shared" si="36"/>
        <v/>
      </c>
      <c r="V220" s="198" t="str">
        <f t="shared" si="33"/>
        <v/>
      </c>
      <c r="W220" s="339" t="str">
        <f t="shared" si="37"/>
        <v/>
      </c>
      <c r="X220" s="341" t="str">
        <f t="shared" si="38"/>
        <v/>
      </c>
      <c r="Y220" s="277"/>
      <c r="AR220" t="str">
        <f t="shared" si="39"/>
        <v/>
      </c>
      <c r="AS220" t="str">
        <f t="shared" si="40"/>
        <v/>
      </c>
    </row>
    <row r="221" spans="1:45">
      <c r="A221" s="294"/>
      <c r="B221" s="295"/>
      <c r="C221" s="296"/>
      <c r="D221" s="296"/>
      <c r="E221" s="296"/>
      <c r="F221" s="296"/>
      <c r="G221" s="297"/>
      <c r="H221" s="303"/>
      <c r="I221" s="298"/>
      <c r="J221" s="298"/>
      <c r="K221" s="299"/>
      <c r="L221" s="304"/>
      <c r="M221" s="300"/>
      <c r="N221" s="301"/>
      <c r="P221" s="193" t="str">
        <f>IF(R221 = "", "", COUNT(R$4:$R221))</f>
        <v/>
      </c>
      <c r="Q221" s="193" t="str">
        <f t="shared" si="31"/>
        <v/>
      </c>
      <c r="R221" s="194" t="str">
        <f t="shared" si="32"/>
        <v/>
      </c>
      <c r="S221" s="195" t="str">
        <f t="shared" si="34"/>
        <v/>
      </c>
      <c r="T221" s="196" t="str">
        <f t="shared" si="35"/>
        <v/>
      </c>
      <c r="U221" s="197" t="str">
        <f t="shared" si="36"/>
        <v/>
      </c>
      <c r="V221" s="198" t="str">
        <f t="shared" si="33"/>
        <v/>
      </c>
      <c r="W221" s="339" t="str">
        <f t="shared" si="37"/>
        <v/>
      </c>
      <c r="X221" s="341" t="str">
        <f t="shared" si="38"/>
        <v/>
      </c>
      <c r="Y221" s="277"/>
      <c r="AR221" t="str">
        <f t="shared" si="39"/>
        <v/>
      </c>
      <c r="AS221" t="str">
        <f t="shared" si="40"/>
        <v/>
      </c>
    </row>
    <row r="222" spans="1:45">
      <c r="A222" s="294"/>
      <c r="B222" s="295"/>
      <c r="C222" s="296"/>
      <c r="D222" s="296"/>
      <c r="E222" s="296"/>
      <c r="F222" s="296"/>
      <c r="G222" s="297"/>
      <c r="H222" s="303"/>
      <c r="I222" s="298"/>
      <c r="J222" s="298"/>
      <c r="K222" s="299"/>
      <c r="L222" s="304"/>
      <c r="M222" s="300"/>
      <c r="N222" s="301"/>
      <c r="P222" s="193" t="str">
        <f>IF(R222 = "", "", COUNT(R$4:$R222))</f>
        <v/>
      </c>
      <c r="Q222" s="193" t="str">
        <f t="shared" si="31"/>
        <v/>
      </c>
      <c r="R222" s="194" t="str">
        <f t="shared" si="32"/>
        <v/>
      </c>
      <c r="S222" s="195" t="str">
        <f t="shared" si="34"/>
        <v/>
      </c>
      <c r="T222" s="196" t="str">
        <f t="shared" si="35"/>
        <v/>
      </c>
      <c r="U222" s="197" t="str">
        <f t="shared" si="36"/>
        <v/>
      </c>
      <c r="V222" s="198" t="str">
        <f t="shared" si="33"/>
        <v/>
      </c>
      <c r="W222" s="339" t="str">
        <f t="shared" si="37"/>
        <v/>
      </c>
      <c r="X222" s="341" t="str">
        <f t="shared" si="38"/>
        <v/>
      </c>
      <c r="Y222" s="277"/>
      <c r="AR222" t="str">
        <f t="shared" si="39"/>
        <v/>
      </c>
      <c r="AS222" t="str">
        <f t="shared" si="40"/>
        <v/>
      </c>
    </row>
    <row r="223" spans="1:45">
      <c r="A223" s="294"/>
      <c r="B223" s="295"/>
      <c r="C223" s="296"/>
      <c r="D223" s="296"/>
      <c r="E223" s="296"/>
      <c r="F223" s="296"/>
      <c r="G223" s="297"/>
      <c r="H223" s="303"/>
      <c r="I223" s="298"/>
      <c r="J223" s="298"/>
      <c r="K223" s="299"/>
      <c r="L223" s="304"/>
      <c r="M223" s="300"/>
      <c r="N223" s="301"/>
      <c r="P223" s="193" t="str">
        <f>IF(R223 = "", "", COUNT(R$4:$R223))</f>
        <v/>
      </c>
      <c r="Q223" s="193" t="str">
        <f t="shared" si="31"/>
        <v/>
      </c>
      <c r="R223" s="194" t="str">
        <f t="shared" si="32"/>
        <v/>
      </c>
      <c r="S223" s="195" t="str">
        <f t="shared" si="34"/>
        <v/>
      </c>
      <c r="T223" s="196" t="str">
        <f t="shared" si="35"/>
        <v/>
      </c>
      <c r="U223" s="197" t="str">
        <f t="shared" si="36"/>
        <v/>
      </c>
      <c r="V223" s="198" t="str">
        <f t="shared" si="33"/>
        <v/>
      </c>
      <c r="W223" s="339" t="str">
        <f t="shared" si="37"/>
        <v/>
      </c>
      <c r="X223" s="341" t="str">
        <f t="shared" si="38"/>
        <v/>
      </c>
      <c r="Y223" s="277"/>
      <c r="AR223" t="str">
        <f t="shared" si="39"/>
        <v/>
      </c>
      <c r="AS223" t="str">
        <f t="shared" si="40"/>
        <v/>
      </c>
    </row>
    <row r="224" spans="1:45">
      <c r="A224" s="294"/>
      <c r="B224" s="295"/>
      <c r="C224" s="296"/>
      <c r="D224" s="296"/>
      <c r="E224" s="296"/>
      <c r="F224" s="296"/>
      <c r="G224" s="297"/>
      <c r="H224" s="303"/>
      <c r="I224" s="298"/>
      <c r="J224" s="298"/>
      <c r="K224" s="299"/>
      <c r="L224" s="304"/>
      <c r="M224" s="300"/>
      <c r="N224" s="301"/>
      <c r="P224" s="193" t="str">
        <f>IF(R224 = "", "", COUNT(R$4:$R224))</f>
        <v/>
      </c>
      <c r="Q224" s="193" t="str">
        <f t="shared" si="31"/>
        <v/>
      </c>
      <c r="R224" s="194" t="str">
        <f t="shared" si="32"/>
        <v/>
      </c>
      <c r="S224" s="195" t="str">
        <f t="shared" si="34"/>
        <v/>
      </c>
      <c r="T224" s="196" t="str">
        <f t="shared" si="35"/>
        <v/>
      </c>
      <c r="U224" s="197" t="str">
        <f t="shared" si="36"/>
        <v/>
      </c>
      <c r="V224" s="198" t="str">
        <f t="shared" si="33"/>
        <v/>
      </c>
      <c r="W224" s="339" t="str">
        <f t="shared" si="37"/>
        <v/>
      </c>
      <c r="X224" s="341" t="str">
        <f t="shared" si="38"/>
        <v/>
      </c>
      <c r="Y224" s="277"/>
      <c r="AR224" t="str">
        <f t="shared" si="39"/>
        <v/>
      </c>
      <c r="AS224" t="str">
        <f t="shared" si="40"/>
        <v/>
      </c>
    </row>
    <row r="225" spans="1:45">
      <c r="A225" s="294"/>
      <c r="B225" s="295"/>
      <c r="C225" s="296"/>
      <c r="D225" s="296"/>
      <c r="E225" s="296"/>
      <c r="F225" s="296"/>
      <c r="G225" s="297"/>
      <c r="H225" s="303"/>
      <c r="I225" s="298"/>
      <c r="J225" s="298"/>
      <c r="K225" s="299"/>
      <c r="L225" s="304"/>
      <c r="M225" s="300"/>
      <c r="N225" s="301"/>
      <c r="P225" s="193" t="str">
        <f>IF(R225 = "", "", COUNT(R$4:$R225))</f>
        <v/>
      </c>
      <c r="Q225" s="193" t="str">
        <f t="shared" si="31"/>
        <v/>
      </c>
      <c r="R225" s="194" t="str">
        <f t="shared" si="32"/>
        <v/>
      </c>
      <c r="S225" s="195" t="str">
        <f t="shared" si="34"/>
        <v/>
      </c>
      <c r="T225" s="196" t="str">
        <f t="shared" si="35"/>
        <v/>
      </c>
      <c r="U225" s="197" t="str">
        <f t="shared" si="36"/>
        <v/>
      </c>
      <c r="V225" s="198" t="str">
        <f t="shared" si="33"/>
        <v/>
      </c>
      <c r="W225" s="339" t="str">
        <f t="shared" si="37"/>
        <v/>
      </c>
      <c r="X225" s="341" t="str">
        <f t="shared" si="38"/>
        <v/>
      </c>
      <c r="Y225" s="277"/>
      <c r="AR225" t="str">
        <f t="shared" si="39"/>
        <v/>
      </c>
      <c r="AS225" t="str">
        <f t="shared" si="40"/>
        <v/>
      </c>
    </row>
    <row r="226" spans="1:45">
      <c r="A226" s="294"/>
      <c r="B226" s="295"/>
      <c r="C226" s="296"/>
      <c r="D226" s="296"/>
      <c r="E226" s="296"/>
      <c r="F226" s="296"/>
      <c r="G226" s="297"/>
      <c r="H226" s="303"/>
      <c r="I226" s="298"/>
      <c r="J226" s="298"/>
      <c r="K226" s="299"/>
      <c r="L226" s="304"/>
      <c r="M226" s="300"/>
      <c r="N226" s="301"/>
      <c r="P226" s="193" t="str">
        <f>IF(R226 = "", "", COUNT(R$4:$R226))</f>
        <v/>
      </c>
      <c r="Q226" s="193" t="str">
        <f t="shared" si="31"/>
        <v/>
      </c>
      <c r="R226" s="194" t="str">
        <f t="shared" si="32"/>
        <v/>
      </c>
      <c r="S226" s="195" t="str">
        <f t="shared" si="34"/>
        <v/>
      </c>
      <c r="T226" s="196" t="str">
        <f t="shared" si="35"/>
        <v/>
      </c>
      <c r="U226" s="197" t="str">
        <f t="shared" si="36"/>
        <v/>
      </c>
      <c r="V226" s="198" t="str">
        <f t="shared" si="33"/>
        <v/>
      </c>
      <c r="W226" s="339" t="str">
        <f t="shared" si="37"/>
        <v/>
      </c>
      <c r="X226" s="341" t="str">
        <f t="shared" si="38"/>
        <v/>
      </c>
      <c r="Y226" s="277"/>
      <c r="AR226" t="str">
        <f t="shared" si="39"/>
        <v/>
      </c>
      <c r="AS226" t="str">
        <f t="shared" si="40"/>
        <v/>
      </c>
    </row>
    <row r="227" spans="1:45">
      <c r="A227" s="294"/>
      <c r="B227" s="295"/>
      <c r="C227" s="296"/>
      <c r="D227" s="296"/>
      <c r="E227" s="296"/>
      <c r="F227" s="296"/>
      <c r="G227" s="297"/>
      <c r="H227" s="303"/>
      <c r="I227" s="298"/>
      <c r="J227" s="298"/>
      <c r="K227" s="299"/>
      <c r="L227" s="304"/>
      <c r="M227" s="300"/>
      <c r="N227" s="301"/>
      <c r="P227" s="193" t="str">
        <f>IF(R227 = "", "", COUNT(R$4:$R227))</f>
        <v/>
      </c>
      <c r="Q227" s="193" t="str">
        <f t="shared" si="31"/>
        <v/>
      </c>
      <c r="R227" s="194" t="str">
        <f t="shared" si="32"/>
        <v/>
      </c>
      <c r="S227" s="195" t="str">
        <f t="shared" si="34"/>
        <v/>
      </c>
      <c r="T227" s="196" t="str">
        <f t="shared" si="35"/>
        <v/>
      </c>
      <c r="U227" s="197" t="str">
        <f t="shared" si="36"/>
        <v/>
      </c>
      <c r="V227" s="198" t="str">
        <f t="shared" si="33"/>
        <v/>
      </c>
      <c r="W227" s="339" t="str">
        <f t="shared" si="37"/>
        <v/>
      </c>
      <c r="X227" s="341" t="str">
        <f t="shared" si="38"/>
        <v/>
      </c>
      <c r="Y227" s="277"/>
      <c r="AR227" t="str">
        <f t="shared" si="39"/>
        <v/>
      </c>
      <c r="AS227" t="str">
        <f t="shared" si="40"/>
        <v/>
      </c>
    </row>
    <row r="228" spans="1:45">
      <c r="A228" s="294"/>
      <c r="B228" s="295"/>
      <c r="C228" s="296"/>
      <c r="D228" s="296"/>
      <c r="E228" s="296"/>
      <c r="F228" s="296"/>
      <c r="G228" s="297"/>
      <c r="H228" s="303"/>
      <c r="I228" s="298"/>
      <c r="J228" s="298"/>
      <c r="K228" s="299"/>
      <c r="L228" s="304"/>
      <c r="M228" s="300"/>
      <c r="N228" s="301"/>
      <c r="P228" s="193" t="str">
        <f>IF(R228 = "", "", COUNT(R$4:$R228))</f>
        <v/>
      </c>
      <c r="Q228" s="193" t="str">
        <f t="shared" si="31"/>
        <v/>
      </c>
      <c r="R228" s="194" t="str">
        <f t="shared" si="32"/>
        <v/>
      </c>
      <c r="S228" s="195" t="str">
        <f t="shared" si="34"/>
        <v/>
      </c>
      <c r="T228" s="196" t="str">
        <f t="shared" si="35"/>
        <v/>
      </c>
      <c r="U228" s="197" t="str">
        <f t="shared" si="36"/>
        <v/>
      </c>
      <c r="V228" s="198" t="str">
        <f t="shared" si="33"/>
        <v/>
      </c>
      <c r="W228" s="339" t="str">
        <f t="shared" si="37"/>
        <v/>
      </c>
      <c r="X228" s="341" t="str">
        <f t="shared" si="38"/>
        <v/>
      </c>
      <c r="Y228" s="277"/>
      <c r="AR228" t="str">
        <f t="shared" si="39"/>
        <v/>
      </c>
      <c r="AS228" t="str">
        <f t="shared" si="40"/>
        <v/>
      </c>
    </row>
    <row r="229" spans="1:45">
      <c r="A229" s="294"/>
      <c r="B229" s="295"/>
      <c r="C229" s="296"/>
      <c r="D229" s="296"/>
      <c r="E229" s="296"/>
      <c r="F229" s="296"/>
      <c r="G229" s="297"/>
      <c r="H229" s="303"/>
      <c r="I229" s="298"/>
      <c r="J229" s="298"/>
      <c r="K229" s="299"/>
      <c r="L229" s="304"/>
      <c r="M229" s="300"/>
      <c r="N229" s="301"/>
      <c r="P229" s="193" t="str">
        <f>IF(R229 = "", "", COUNT(R$4:$R229))</f>
        <v/>
      </c>
      <c r="Q229" s="193" t="str">
        <f t="shared" si="31"/>
        <v/>
      </c>
      <c r="R229" s="194" t="str">
        <f t="shared" si="32"/>
        <v/>
      </c>
      <c r="S229" s="195" t="str">
        <f t="shared" si="34"/>
        <v/>
      </c>
      <c r="T229" s="196" t="str">
        <f t="shared" si="35"/>
        <v/>
      </c>
      <c r="U229" s="197" t="str">
        <f t="shared" si="36"/>
        <v/>
      </c>
      <c r="V229" s="198" t="str">
        <f t="shared" si="33"/>
        <v/>
      </c>
      <c r="W229" s="339" t="str">
        <f t="shared" si="37"/>
        <v/>
      </c>
      <c r="X229" s="341" t="str">
        <f t="shared" si="38"/>
        <v/>
      </c>
      <c r="Y229" s="277"/>
      <c r="AR229" t="str">
        <f t="shared" si="39"/>
        <v/>
      </c>
      <c r="AS229" t="str">
        <f t="shared" si="40"/>
        <v/>
      </c>
    </row>
    <row r="230" spans="1:45">
      <c r="A230" s="294"/>
      <c r="B230" s="295"/>
      <c r="C230" s="296"/>
      <c r="D230" s="296"/>
      <c r="E230" s="296"/>
      <c r="F230" s="296"/>
      <c r="G230" s="297"/>
      <c r="H230" s="303"/>
      <c r="I230" s="298"/>
      <c r="J230" s="298"/>
      <c r="K230" s="299"/>
      <c r="L230" s="304"/>
      <c r="M230" s="300"/>
      <c r="N230" s="301"/>
      <c r="P230" s="193" t="str">
        <f>IF(R230 = "", "", COUNT(R$4:$R230))</f>
        <v/>
      </c>
      <c r="Q230" s="193" t="str">
        <f t="shared" si="31"/>
        <v/>
      </c>
      <c r="R230" s="194" t="str">
        <f t="shared" si="32"/>
        <v/>
      </c>
      <c r="S230" s="195" t="str">
        <f t="shared" si="34"/>
        <v/>
      </c>
      <c r="T230" s="196" t="str">
        <f t="shared" si="35"/>
        <v/>
      </c>
      <c r="U230" s="197" t="str">
        <f t="shared" si="36"/>
        <v/>
      </c>
      <c r="V230" s="198" t="str">
        <f t="shared" si="33"/>
        <v/>
      </c>
      <c r="W230" s="339" t="str">
        <f t="shared" si="37"/>
        <v/>
      </c>
      <c r="X230" s="341" t="str">
        <f t="shared" si="38"/>
        <v/>
      </c>
      <c r="Y230" s="277"/>
      <c r="AR230" t="str">
        <f t="shared" si="39"/>
        <v/>
      </c>
      <c r="AS230" t="str">
        <f t="shared" si="40"/>
        <v/>
      </c>
    </row>
    <row r="231" spans="1:45">
      <c r="A231" s="294"/>
      <c r="B231" s="295"/>
      <c r="C231" s="296"/>
      <c r="D231" s="296"/>
      <c r="E231" s="296"/>
      <c r="F231" s="296"/>
      <c r="G231" s="297"/>
      <c r="H231" s="303"/>
      <c r="I231" s="298"/>
      <c r="J231" s="298"/>
      <c r="K231" s="299"/>
      <c r="L231" s="304"/>
      <c r="M231" s="300"/>
      <c r="N231" s="301"/>
      <c r="P231" s="193" t="str">
        <f>IF(R231 = "", "", COUNT(R$4:$R231))</f>
        <v/>
      </c>
      <c r="Q231" s="193" t="str">
        <f t="shared" si="31"/>
        <v/>
      </c>
      <c r="R231" s="194" t="str">
        <f t="shared" si="32"/>
        <v/>
      </c>
      <c r="S231" s="195" t="str">
        <f t="shared" si="34"/>
        <v/>
      </c>
      <c r="T231" s="196" t="str">
        <f t="shared" si="35"/>
        <v/>
      </c>
      <c r="U231" s="197" t="str">
        <f t="shared" si="36"/>
        <v/>
      </c>
      <c r="V231" s="198" t="str">
        <f t="shared" si="33"/>
        <v/>
      </c>
      <c r="W231" s="339" t="str">
        <f t="shared" si="37"/>
        <v/>
      </c>
      <c r="X231" s="341" t="str">
        <f t="shared" si="38"/>
        <v/>
      </c>
      <c r="Y231" s="277"/>
      <c r="AR231" t="str">
        <f t="shared" si="39"/>
        <v/>
      </c>
      <c r="AS231" t="str">
        <f t="shared" si="40"/>
        <v/>
      </c>
    </row>
    <row r="232" spans="1:45">
      <c r="A232" s="294"/>
      <c r="B232" s="295"/>
      <c r="C232" s="296"/>
      <c r="D232" s="296"/>
      <c r="E232" s="296"/>
      <c r="F232" s="296"/>
      <c r="G232" s="297"/>
      <c r="H232" s="303"/>
      <c r="I232" s="298"/>
      <c r="J232" s="298"/>
      <c r="K232" s="299"/>
      <c r="L232" s="304"/>
      <c r="M232" s="300"/>
      <c r="N232" s="301"/>
      <c r="P232" s="193" t="str">
        <f>IF(R232 = "", "", COUNT(R$4:$R232))</f>
        <v/>
      </c>
      <c r="Q232" s="193" t="str">
        <f t="shared" si="31"/>
        <v/>
      </c>
      <c r="R232" s="194" t="str">
        <f t="shared" si="32"/>
        <v/>
      </c>
      <c r="S232" s="195" t="str">
        <f t="shared" si="34"/>
        <v/>
      </c>
      <c r="T232" s="196" t="str">
        <f t="shared" si="35"/>
        <v/>
      </c>
      <c r="U232" s="197" t="str">
        <f t="shared" si="36"/>
        <v/>
      </c>
      <c r="V232" s="198" t="str">
        <f t="shared" si="33"/>
        <v/>
      </c>
      <c r="W232" s="339" t="str">
        <f t="shared" si="37"/>
        <v/>
      </c>
      <c r="X232" s="341" t="str">
        <f t="shared" si="38"/>
        <v/>
      </c>
      <c r="Y232" s="277"/>
      <c r="AR232" t="str">
        <f t="shared" si="39"/>
        <v/>
      </c>
      <c r="AS232" t="str">
        <f t="shared" si="40"/>
        <v/>
      </c>
    </row>
    <row r="233" spans="1:45">
      <c r="A233" s="294"/>
      <c r="B233" s="295"/>
      <c r="C233" s="296"/>
      <c r="D233" s="296"/>
      <c r="E233" s="296"/>
      <c r="F233" s="296"/>
      <c r="G233" s="297"/>
      <c r="H233" s="303"/>
      <c r="I233" s="298"/>
      <c r="J233" s="298"/>
      <c r="K233" s="299"/>
      <c r="L233" s="304"/>
      <c r="M233" s="300"/>
      <c r="N233" s="301"/>
      <c r="P233" s="193" t="str">
        <f>IF(R233 = "", "", COUNT(R$4:$R233))</f>
        <v/>
      </c>
      <c r="Q233" s="193" t="str">
        <f t="shared" si="31"/>
        <v/>
      </c>
      <c r="R233" s="194" t="str">
        <f t="shared" si="32"/>
        <v/>
      </c>
      <c r="S233" s="195" t="str">
        <f t="shared" si="34"/>
        <v/>
      </c>
      <c r="T233" s="196" t="str">
        <f t="shared" si="35"/>
        <v/>
      </c>
      <c r="U233" s="197" t="str">
        <f t="shared" si="36"/>
        <v/>
      </c>
      <c r="V233" s="198" t="str">
        <f t="shared" si="33"/>
        <v/>
      </c>
      <c r="W233" s="339" t="str">
        <f t="shared" si="37"/>
        <v/>
      </c>
      <c r="X233" s="341" t="str">
        <f t="shared" si="38"/>
        <v/>
      </c>
      <c r="Y233" s="277"/>
      <c r="AR233" t="str">
        <f t="shared" si="39"/>
        <v/>
      </c>
      <c r="AS233" t="str">
        <f t="shared" si="40"/>
        <v/>
      </c>
    </row>
    <row r="234" spans="1:45">
      <c r="A234" s="294"/>
      <c r="B234" s="295"/>
      <c r="C234" s="296"/>
      <c r="D234" s="296"/>
      <c r="E234" s="296"/>
      <c r="F234" s="296"/>
      <c r="G234" s="297"/>
      <c r="H234" s="303"/>
      <c r="I234" s="298"/>
      <c r="J234" s="298"/>
      <c r="K234" s="299"/>
      <c r="L234" s="304"/>
      <c r="M234" s="300"/>
      <c r="N234" s="301"/>
      <c r="P234" s="193" t="str">
        <f>IF(R234 = "", "", COUNT(R$4:$R234))</f>
        <v/>
      </c>
      <c r="Q234" s="193" t="str">
        <f t="shared" si="31"/>
        <v/>
      </c>
      <c r="R234" s="194" t="str">
        <f t="shared" si="32"/>
        <v/>
      </c>
      <c r="S234" s="195" t="str">
        <f t="shared" si="34"/>
        <v/>
      </c>
      <c r="T234" s="196" t="str">
        <f t="shared" si="35"/>
        <v/>
      </c>
      <c r="U234" s="197" t="str">
        <f t="shared" si="36"/>
        <v/>
      </c>
      <c r="V234" s="198" t="str">
        <f t="shared" si="33"/>
        <v/>
      </c>
      <c r="W234" s="339" t="str">
        <f t="shared" si="37"/>
        <v/>
      </c>
      <c r="X234" s="341" t="str">
        <f t="shared" si="38"/>
        <v/>
      </c>
      <c r="Y234" s="277"/>
      <c r="AR234" t="str">
        <f t="shared" si="39"/>
        <v/>
      </c>
      <c r="AS234" t="str">
        <f t="shared" si="40"/>
        <v/>
      </c>
    </row>
    <row r="235" spans="1:45">
      <c r="A235" s="294"/>
      <c r="B235" s="295"/>
      <c r="C235" s="296"/>
      <c r="D235" s="296"/>
      <c r="E235" s="296"/>
      <c r="F235" s="296"/>
      <c r="G235" s="297"/>
      <c r="H235" s="303"/>
      <c r="I235" s="298"/>
      <c r="J235" s="298"/>
      <c r="K235" s="299"/>
      <c r="L235" s="304"/>
      <c r="M235" s="300"/>
      <c r="N235" s="301"/>
      <c r="P235" s="193" t="str">
        <f>IF(R235 = "", "", COUNT(R$4:$R235))</f>
        <v/>
      </c>
      <c r="Q235" s="193" t="str">
        <f t="shared" si="31"/>
        <v/>
      </c>
      <c r="R235" s="194" t="str">
        <f t="shared" si="32"/>
        <v/>
      </c>
      <c r="S235" s="195" t="str">
        <f t="shared" si="34"/>
        <v/>
      </c>
      <c r="T235" s="196" t="str">
        <f t="shared" si="35"/>
        <v/>
      </c>
      <c r="U235" s="197" t="str">
        <f t="shared" si="36"/>
        <v/>
      </c>
      <c r="V235" s="198" t="str">
        <f t="shared" si="33"/>
        <v/>
      </c>
      <c r="W235" s="339" t="str">
        <f t="shared" si="37"/>
        <v/>
      </c>
      <c r="X235" s="341" t="str">
        <f t="shared" si="38"/>
        <v/>
      </c>
      <c r="Y235" s="277"/>
      <c r="AR235" t="str">
        <f t="shared" si="39"/>
        <v/>
      </c>
      <c r="AS235" t="str">
        <f t="shared" si="40"/>
        <v/>
      </c>
    </row>
    <row r="236" spans="1:45">
      <c r="A236" s="294"/>
      <c r="B236" s="295"/>
      <c r="C236" s="296"/>
      <c r="D236" s="296"/>
      <c r="E236" s="296"/>
      <c r="F236" s="296"/>
      <c r="G236" s="297"/>
      <c r="H236" s="303"/>
      <c r="I236" s="298"/>
      <c r="J236" s="298"/>
      <c r="K236" s="299"/>
      <c r="L236" s="304"/>
      <c r="M236" s="300"/>
      <c r="N236" s="301"/>
      <c r="P236" s="193" t="str">
        <f>IF(R236 = "", "", COUNT(R$4:$R236))</f>
        <v/>
      </c>
      <c r="Q236" s="193" t="str">
        <f t="shared" si="31"/>
        <v/>
      </c>
      <c r="R236" s="194" t="str">
        <f t="shared" si="32"/>
        <v/>
      </c>
      <c r="S236" s="195" t="str">
        <f t="shared" si="34"/>
        <v/>
      </c>
      <c r="T236" s="196" t="str">
        <f t="shared" si="35"/>
        <v/>
      </c>
      <c r="U236" s="197" t="str">
        <f t="shared" si="36"/>
        <v/>
      </c>
      <c r="V236" s="198" t="str">
        <f t="shared" si="33"/>
        <v/>
      </c>
      <c r="W236" s="339" t="str">
        <f t="shared" si="37"/>
        <v/>
      </c>
      <c r="X236" s="341" t="str">
        <f t="shared" si="38"/>
        <v/>
      </c>
      <c r="Y236" s="277"/>
      <c r="AR236" t="str">
        <f t="shared" si="39"/>
        <v/>
      </c>
      <c r="AS236" t="str">
        <f t="shared" si="40"/>
        <v/>
      </c>
    </row>
    <row r="237" spans="1:45">
      <c r="A237" s="294"/>
      <c r="B237" s="295"/>
      <c r="C237" s="296"/>
      <c r="D237" s="296"/>
      <c r="E237" s="296"/>
      <c r="F237" s="296"/>
      <c r="G237" s="297"/>
      <c r="H237" s="303"/>
      <c r="I237" s="298"/>
      <c r="J237" s="298"/>
      <c r="K237" s="299"/>
      <c r="L237" s="304"/>
      <c r="M237" s="300"/>
      <c r="N237" s="301"/>
      <c r="P237" s="193" t="str">
        <f>IF(R237 = "", "", COUNT(R$4:$R237))</f>
        <v/>
      </c>
      <c r="Q237" s="193" t="str">
        <f t="shared" si="31"/>
        <v/>
      </c>
      <c r="R237" s="194" t="str">
        <f t="shared" si="32"/>
        <v/>
      </c>
      <c r="S237" s="195" t="str">
        <f t="shared" si="34"/>
        <v/>
      </c>
      <c r="T237" s="196" t="str">
        <f t="shared" si="35"/>
        <v/>
      </c>
      <c r="U237" s="197" t="str">
        <f t="shared" si="36"/>
        <v/>
      </c>
      <c r="V237" s="198" t="str">
        <f t="shared" si="33"/>
        <v/>
      </c>
      <c r="W237" s="339" t="str">
        <f t="shared" si="37"/>
        <v/>
      </c>
      <c r="X237" s="341" t="str">
        <f t="shared" si="38"/>
        <v/>
      </c>
      <c r="Y237" s="277"/>
      <c r="AR237" t="str">
        <f t="shared" si="39"/>
        <v/>
      </c>
      <c r="AS237" t="str">
        <f t="shared" si="40"/>
        <v/>
      </c>
    </row>
    <row r="238" spans="1:45">
      <c r="A238" s="294"/>
      <c r="B238" s="295"/>
      <c r="C238" s="296"/>
      <c r="D238" s="296"/>
      <c r="E238" s="296"/>
      <c r="F238" s="296"/>
      <c r="G238" s="297"/>
      <c r="H238" s="303"/>
      <c r="I238" s="298"/>
      <c r="J238" s="298"/>
      <c r="K238" s="299"/>
      <c r="L238" s="304"/>
      <c r="M238" s="300"/>
      <c r="N238" s="301"/>
      <c r="P238" s="193" t="str">
        <f>IF(R238 = "", "", COUNT(R$4:$R238))</f>
        <v/>
      </c>
      <c r="Q238" s="193" t="str">
        <f t="shared" si="31"/>
        <v/>
      </c>
      <c r="R238" s="194" t="str">
        <f t="shared" si="32"/>
        <v/>
      </c>
      <c r="S238" s="195" t="str">
        <f t="shared" si="34"/>
        <v/>
      </c>
      <c r="T238" s="196" t="str">
        <f t="shared" si="35"/>
        <v/>
      </c>
      <c r="U238" s="197" t="str">
        <f t="shared" si="36"/>
        <v/>
      </c>
      <c r="V238" s="198" t="str">
        <f t="shared" si="33"/>
        <v/>
      </c>
      <c r="W238" s="339" t="str">
        <f t="shared" si="37"/>
        <v/>
      </c>
      <c r="X238" s="341" t="str">
        <f t="shared" si="38"/>
        <v/>
      </c>
      <c r="Y238" s="277"/>
      <c r="AR238" t="str">
        <f t="shared" si="39"/>
        <v/>
      </c>
      <c r="AS238" t="str">
        <f t="shared" si="40"/>
        <v/>
      </c>
    </row>
    <row r="239" spans="1:45">
      <c r="A239" s="294"/>
      <c r="B239" s="295"/>
      <c r="C239" s="296"/>
      <c r="D239" s="296"/>
      <c r="E239" s="296"/>
      <c r="F239" s="296"/>
      <c r="G239" s="297"/>
      <c r="H239" s="303"/>
      <c r="I239" s="298"/>
      <c r="J239" s="298"/>
      <c r="K239" s="299"/>
      <c r="L239" s="304"/>
      <c r="M239" s="300"/>
      <c r="N239" s="301"/>
      <c r="P239" s="193" t="str">
        <f>IF(R239 = "", "", COUNT(R$4:$R239))</f>
        <v/>
      </c>
      <c r="Q239" s="193" t="str">
        <f t="shared" si="31"/>
        <v/>
      </c>
      <c r="R239" s="194" t="str">
        <f t="shared" si="32"/>
        <v/>
      </c>
      <c r="S239" s="195" t="str">
        <f t="shared" si="34"/>
        <v/>
      </c>
      <c r="T239" s="196" t="str">
        <f t="shared" si="35"/>
        <v/>
      </c>
      <c r="U239" s="197" t="str">
        <f t="shared" si="36"/>
        <v/>
      </c>
      <c r="V239" s="198" t="str">
        <f t="shared" si="33"/>
        <v/>
      </c>
      <c r="W239" s="339" t="str">
        <f t="shared" si="37"/>
        <v/>
      </c>
      <c r="X239" s="341" t="str">
        <f t="shared" si="38"/>
        <v/>
      </c>
      <c r="Y239" s="277"/>
      <c r="AR239" t="str">
        <f t="shared" si="39"/>
        <v/>
      </c>
      <c r="AS239" t="str">
        <f t="shared" si="40"/>
        <v/>
      </c>
    </row>
    <row r="240" spans="1:45">
      <c r="A240" s="294"/>
      <c r="B240" s="295"/>
      <c r="C240" s="296"/>
      <c r="D240" s="296"/>
      <c r="E240" s="296"/>
      <c r="F240" s="296"/>
      <c r="G240" s="297"/>
      <c r="H240" s="303"/>
      <c r="I240" s="298"/>
      <c r="J240" s="298"/>
      <c r="K240" s="299"/>
      <c r="L240" s="304"/>
      <c r="M240" s="300"/>
      <c r="N240" s="301"/>
      <c r="P240" s="193" t="str">
        <f>IF(R240 = "", "", COUNT(R$4:$R240))</f>
        <v/>
      </c>
      <c r="Q240" s="193" t="str">
        <f t="shared" si="31"/>
        <v/>
      </c>
      <c r="R240" s="194" t="str">
        <f t="shared" si="32"/>
        <v/>
      </c>
      <c r="S240" s="195" t="str">
        <f t="shared" si="34"/>
        <v/>
      </c>
      <c r="T240" s="196" t="str">
        <f t="shared" si="35"/>
        <v/>
      </c>
      <c r="U240" s="197" t="str">
        <f t="shared" si="36"/>
        <v/>
      </c>
      <c r="V240" s="198" t="str">
        <f t="shared" si="33"/>
        <v/>
      </c>
      <c r="W240" s="339" t="str">
        <f t="shared" si="37"/>
        <v/>
      </c>
      <c r="X240" s="341" t="str">
        <f t="shared" si="38"/>
        <v/>
      </c>
      <c r="Y240" s="277"/>
      <c r="AR240" t="str">
        <f t="shared" si="39"/>
        <v/>
      </c>
      <c r="AS240" t="str">
        <f t="shared" si="40"/>
        <v/>
      </c>
    </row>
    <row r="241" spans="1:45">
      <c r="A241" s="294"/>
      <c r="B241" s="295"/>
      <c r="C241" s="296"/>
      <c r="D241" s="296"/>
      <c r="E241" s="296"/>
      <c r="F241" s="296"/>
      <c r="G241" s="297"/>
      <c r="H241" s="303"/>
      <c r="I241" s="298"/>
      <c r="J241" s="298"/>
      <c r="K241" s="299"/>
      <c r="L241" s="304"/>
      <c r="M241" s="300"/>
      <c r="N241" s="301"/>
      <c r="P241" s="193" t="str">
        <f>IF(R241 = "", "", COUNT(R$4:$R241))</f>
        <v/>
      </c>
      <c r="Q241" s="193" t="str">
        <f t="shared" si="31"/>
        <v/>
      </c>
      <c r="R241" s="194" t="str">
        <f t="shared" si="32"/>
        <v/>
      </c>
      <c r="S241" s="195" t="str">
        <f t="shared" si="34"/>
        <v/>
      </c>
      <c r="T241" s="196" t="str">
        <f t="shared" si="35"/>
        <v/>
      </c>
      <c r="U241" s="197" t="str">
        <f t="shared" si="36"/>
        <v/>
      </c>
      <c r="V241" s="198" t="str">
        <f t="shared" si="33"/>
        <v/>
      </c>
      <c r="W241" s="339" t="str">
        <f t="shared" si="37"/>
        <v/>
      </c>
      <c r="X241" s="341" t="str">
        <f t="shared" si="38"/>
        <v/>
      </c>
      <c r="Y241" s="277"/>
      <c r="AR241" t="str">
        <f t="shared" si="39"/>
        <v/>
      </c>
      <c r="AS241" t="str">
        <f t="shared" si="40"/>
        <v/>
      </c>
    </row>
    <row r="242" spans="1:45">
      <c r="A242" s="294"/>
      <c r="B242" s="295"/>
      <c r="C242" s="296"/>
      <c r="D242" s="296"/>
      <c r="E242" s="296"/>
      <c r="F242" s="296"/>
      <c r="G242" s="297"/>
      <c r="H242" s="303"/>
      <c r="I242" s="298"/>
      <c r="J242" s="298"/>
      <c r="K242" s="299"/>
      <c r="L242" s="304"/>
      <c r="M242" s="300"/>
      <c r="N242" s="301"/>
      <c r="P242" s="193" t="str">
        <f>IF(R242 = "", "", COUNT(R$4:$R242))</f>
        <v/>
      </c>
      <c r="Q242" s="193" t="str">
        <f t="shared" si="31"/>
        <v/>
      </c>
      <c r="R242" s="194" t="str">
        <f t="shared" si="32"/>
        <v/>
      </c>
      <c r="S242" s="195" t="str">
        <f t="shared" si="34"/>
        <v/>
      </c>
      <c r="T242" s="196" t="str">
        <f t="shared" si="35"/>
        <v/>
      </c>
      <c r="U242" s="197" t="str">
        <f t="shared" si="36"/>
        <v/>
      </c>
      <c r="V242" s="198" t="str">
        <f t="shared" si="33"/>
        <v/>
      </c>
      <c r="W242" s="339" t="str">
        <f t="shared" si="37"/>
        <v/>
      </c>
      <c r="X242" s="341" t="str">
        <f t="shared" si="38"/>
        <v/>
      </c>
      <c r="Y242" s="277"/>
      <c r="AR242" t="str">
        <f t="shared" si="39"/>
        <v/>
      </c>
      <c r="AS242" t="str">
        <f t="shared" si="40"/>
        <v/>
      </c>
    </row>
    <row r="243" spans="1:45">
      <c r="A243" s="294"/>
      <c r="B243" s="295"/>
      <c r="C243" s="296"/>
      <c r="D243" s="296"/>
      <c r="E243" s="296"/>
      <c r="F243" s="296"/>
      <c r="G243" s="297"/>
      <c r="H243" s="303"/>
      <c r="I243" s="298"/>
      <c r="J243" s="298"/>
      <c r="K243" s="299"/>
      <c r="L243" s="304"/>
      <c r="M243" s="300"/>
      <c r="N243" s="301"/>
      <c r="P243" s="193" t="str">
        <f>IF(R243 = "", "", COUNT(R$4:$R243))</f>
        <v/>
      </c>
      <c r="Q243" s="193" t="str">
        <f t="shared" si="31"/>
        <v/>
      </c>
      <c r="R243" s="194" t="str">
        <f t="shared" si="32"/>
        <v/>
      </c>
      <c r="S243" s="195" t="str">
        <f t="shared" si="34"/>
        <v/>
      </c>
      <c r="T243" s="196" t="str">
        <f t="shared" si="35"/>
        <v/>
      </c>
      <c r="U243" s="197" t="str">
        <f t="shared" si="36"/>
        <v/>
      </c>
      <c r="V243" s="198" t="str">
        <f t="shared" si="33"/>
        <v/>
      </c>
      <c r="W243" s="339" t="str">
        <f t="shared" si="37"/>
        <v/>
      </c>
      <c r="X243" s="341" t="str">
        <f t="shared" si="38"/>
        <v/>
      </c>
      <c r="Y243" s="277"/>
      <c r="AR243" t="str">
        <f t="shared" si="39"/>
        <v/>
      </c>
      <c r="AS243" t="str">
        <f t="shared" si="40"/>
        <v/>
      </c>
    </row>
    <row r="244" spans="1:45">
      <c r="A244" s="294"/>
      <c r="B244" s="295"/>
      <c r="C244" s="296"/>
      <c r="D244" s="296"/>
      <c r="E244" s="296"/>
      <c r="F244" s="296"/>
      <c r="G244" s="297"/>
      <c r="H244" s="303"/>
      <c r="I244" s="298"/>
      <c r="J244" s="298"/>
      <c r="K244" s="299"/>
      <c r="L244" s="304"/>
      <c r="M244" s="300"/>
      <c r="N244" s="301"/>
      <c r="P244" s="193" t="str">
        <f>IF(R244 = "", "", COUNT(R$4:$R244))</f>
        <v/>
      </c>
      <c r="Q244" s="193" t="str">
        <f t="shared" si="31"/>
        <v/>
      </c>
      <c r="R244" s="194" t="str">
        <f t="shared" si="32"/>
        <v/>
      </c>
      <c r="S244" s="195" t="str">
        <f t="shared" si="34"/>
        <v/>
      </c>
      <c r="T244" s="196" t="str">
        <f t="shared" si="35"/>
        <v/>
      </c>
      <c r="U244" s="197" t="str">
        <f t="shared" si="36"/>
        <v/>
      </c>
      <c r="V244" s="198" t="str">
        <f t="shared" si="33"/>
        <v/>
      </c>
      <c r="W244" s="339" t="str">
        <f t="shared" si="37"/>
        <v/>
      </c>
      <c r="X244" s="341" t="str">
        <f t="shared" si="38"/>
        <v/>
      </c>
      <c r="Y244" s="277"/>
      <c r="AR244" t="str">
        <f t="shared" si="39"/>
        <v/>
      </c>
      <c r="AS244" t="str">
        <f t="shared" si="40"/>
        <v/>
      </c>
    </row>
    <row r="245" spans="1:45">
      <c r="A245" s="294"/>
      <c r="B245" s="295"/>
      <c r="C245" s="296"/>
      <c r="D245" s="296"/>
      <c r="E245" s="296"/>
      <c r="F245" s="296"/>
      <c r="G245" s="297"/>
      <c r="H245" s="303"/>
      <c r="I245" s="298"/>
      <c r="J245" s="298"/>
      <c r="K245" s="299"/>
      <c r="L245" s="304"/>
      <c r="M245" s="300"/>
      <c r="N245" s="301"/>
      <c r="P245" s="193" t="str">
        <f>IF(R245 = "", "", COUNT(R$4:$R245))</f>
        <v/>
      </c>
      <c r="Q245" s="193" t="str">
        <f t="shared" si="31"/>
        <v/>
      </c>
      <c r="R245" s="194" t="str">
        <f t="shared" si="32"/>
        <v/>
      </c>
      <c r="S245" s="195" t="str">
        <f t="shared" si="34"/>
        <v/>
      </c>
      <c r="T245" s="196" t="str">
        <f t="shared" si="35"/>
        <v/>
      </c>
      <c r="U245" s="197" t="str">
        <f t="shared" si="36"/>
        <v/>
      </c>
      <c r="V245" s="198" t="str">
        <f t="shared" si="33"/>
        <v/>
      </c>
      <c r="W245" s="339" t="str">
        <f t="shared" si="37"/>
        <v/>
      </c>
      <c r="X245" s="341" t="str">
        <f t="shared" si="38"/>
        <v/>
      </c>
      <c r="Y245" s="277"/>
      <c r="AR245" t="str">
        <f t="shared" si="39"/>
        <v/>
      </c>
      <c r="AS245" t="str">
        <f t="shared" si="40"/>
        <v/>
      </c>
    </row>
    <row r="246" spans="1:45">
      <c r="A246" s="294"/>
      <c r="B246" s="295"/>
      <c r="C246" s="296"/>
      <c r="D246" s="296"/>
      <c r="E246" s="296"/>
      <c r="F246" s="296"/>
      <c r="G246" s="297"/>
      <c r="H246" s="303"/>
      <c r="I246" s="298"/>
      <c r="J246" s="298"/>
      <c r="K246" s="299"/>
      <c r="L246" s="304"/>
      <c r="M246" s="300"/>
      <c r="N246" s="301"/>
      <c r="P246" s="193" t="str">
        <f>IF(R246 = "", "", COUNT(R$4:$R246))</f>
        <v/>
      </c>
      <c r="Q246" s="193" t="str">
        <f t="shared" si="31"/>
        <v/>
      </c>
      <c r="R246" s="194" t="str">
        <f t="shared" si="32"/>
        <v/>
      </c>
      <c r="S246" s="195" t="str">
        <f t="shared" si="34"/>
        <v/>
      </c>
      <c r="T246" s="196" t="str">
        <f t="shared" si="35"/>
        <v/>
      </c>
      <c r="U246" s="197" t="str">
        <f t="shared" si="36"/>
        <v/>
      </c>
      <c r="V246" s="198" t="str">
        <f t="shared" si="33"/>
        <v/>
      </c>
      <c r="W246" s="339" t="str">
        <f t="shared" si="37"/>
        <v/>
      </c>
      <c r="X246" s="341" t="str">
        <f t="shared" si="38"/>
        <v/>
      </c>
      <c r="Y246" s="277"/>
      <c r="AR246" t="str">
        <f t="shared" si="39"/>
        <v/>
      </c>
      <c r="AS246" t="str">
        <f t="shared" si="40"/>
        <v/>
      </c>
    </row>
    <row r="247" spans="1:45">
      <c r="A247" s="294"/>
      <c r="B247" s="295"/>
      <c r="C247" s="296"/>
      <c r="D247" s="296"/>
      <c r="E247" s="296"/>
      <c r="F247" s="296"/>
      <c r="G247" s="297"/>
      <c r="H247" s="303"/>
      <c r="I247" s="298"/>
      <c r="J247" s="298"/>
      <c r="K247" s="299"/>
      <c r="L247" s="304"/>
      <c r="M247" s="300"/>
      <c r="N247" s="301"/>
      <c r="P247" s="193" t="str">
        <f>IF(R247 = "", "", COUNT(R$4:$R247))</f>
        <v/>
      </c>
      <c r="Q247" s="193" t="str">
        <f t="shared" si="31"/>
        <v/>
      </c>
      <c r="R247" s="194" t="str">
        <f t="shared" si="32"/>
        <v/>
      </c>
      <c r="S247" s="195" t="str">
        <f t="shared" si="34"/>
        <v/>
      </c>
      <c r="T247" s="196" t="str">
        <f t="shared" si="35"/>
        <v/>
      </c>
      <c r="U247" s="197" t="str">
        <f t="shared" si="36"/>
        <v/>
      </c>
      <c r="V247" s="198" t="str">
        <f t="shared" si="33"/>
        <v/>
      </c>
      <c r="W247" s="339" t="str">
        <f t="shared" si="37"/>
        <v/>
      </c>
      <c r="X247" s="341" t="str">
        <f t="shared" si="38"/>
        <v/>
      </c>
      <c r="Y247" s="277"/>
      <c r="AR247" t="str">
        <f t="shared" si="39"/>
        <v/>
      </c>
      <c r="AS247" t="str">
        <f t="shared" si="40"/>
        <v/>
      </c>
    </row>
    <row r="248" spans="1:45">
      <c r="A248" s="294"/>
      <c r="B248" s="295"/>
      <c r="C248" s="296"/>
      <c r="D248" s="296"/>
      <c r="E248" s="296"/>
      <c r="F248" s="296"/>
      <c r="G248" s="297"/>
      <c r="H248" s="303"/>
      <c r="I248" s="298"/>
      <c r="J248" s="298"/>
      <c r="K248" s="299"/>
      <c r="L248" s="304"/>
      <c r="M248" s="300"/>
      <c r="N248" s="301"/>
      <c r="P248" s="193" t="str">
        <f>IF(R248 = "", "", COUNT(R$4:$R248))</f>
        <v/>
      </c>
      <c r="Q248" s="193" t="str">
        <f t="shared" si="31"/>
        <v/>
      </c>
      <c r="R248" s="194" t="str">
        <f t="shared" si="32"/>
        <v/>
      </c>
      <c r="S248" s="195" t="str">
        <f t="shared" si="34"/>
        <v/>
      </c>
      <c r="T248" s="196" t="str">
        <f t="shared" si="35"/>
        <v/>
      </c>
      <c r="U248" s="197" t="str">
        <f t="shared" si="36"/>
        <v/>
      </c>
      <c r="V248" s="198" t="str">
        <f t="shared" si="33"/>
        <v/>
      </c>
      <c r="W248" s="339" t="str">
        <f t="shared" si="37"/>
        <v/>
      </c>
      <c r="X248" s="341" t="str">
        <f t="shared" si="38"/>
        <v/>
      </c>
      <c r="Y248" s="277"/>
      <c r="AR248" t="str">
        <f t="shared" si="39"/>
        <v/>
      </c>
      <c r="AS248" t="str">
        <f t="shared" si="40"/>
        <v/>
      </c>
    </row>
    <row r="249" spans="1:45">
      <c r="A249" s="294"/>
      <c r="B249" s="295"/>
      <c r="C249" s="296"/>
      <c r="D249" s="296"/>
      <c r="E249" s="296"/>
      <c r="F249" s="296"/>
      <c r="G249" s="297"/>
      <c r="H249" s="303"/>
      <c r="I249" s="298"/>
      <c r="J249" s="298"/>
      <c r="K249" s="299"/>
      <c r="L249" s="304"/>
      <c r="M249" s="300"/>
      <c r="N249" s="301"/>
      <c r="P249" s="193" t="str">
        <f>IF(R249 = "", "", COUNT(R$4:$R249))</f>
        <v/>
      </c>
      <c r="Q249" s="193" t="str">
        <f t="shared" si="31"/>
        <v/>
      </c>
      <c r="R249" s="194" t="str">
        <f t="shared" si="32"/>
        <v/>
      </c>
      <c r="S249" s="195" t="str">
        <f t="shared" si="34"/>
        <v/>
      </c>
      <c r="T249" s="196" t="str">
        <f t="shared" si="35"/>
        <v/>
      </c>
      <c r="U249" s="197" t="str">
        <f t="shared" si="36"/>
        <v/>
      </c>
      <c r="V249" s="198" t="str">
        <f t="shared" si="33"/>
        <v/>
      </c>
      <c r="W249" s="339" t="str">
        <f t="shared" si="37"/>
        <v/>
      </c>
      <c r="X249" s="341" t="str">
        <f t="shared" si="38"/>
        <v/>
      </c>
      <c r="Y249" s="277"/>
      <c r="AR249" t="str">
        <f t="shared" si="39"/>
        <v/>
      </c>
      <c r="AS249" t="str">
        <f t="shared" si="40"/>
        <v/>
      </c>
    </row>
    <row r="250" spans="1:45">
      <c r="A250" s="294"/>
      <c r="B250" s="295"/>
      <c r="C250" s="296"/>
      <c r="D250" s="296"/>
      <c r="E250" s="296"/>
      <c r="F250" s="296"/>
      <c r="G250" s="297"/>
      <c r="H250" s="303"/>
      <c r="I250" s="298"/>
      <c r="J250" s="298"/>
      <c r="K250" s="299"/>
      <c r="L250" s="304"/>
      <c r="M250" s="300"/>
      <c r="N250" s="301"/>
      <c r="P250" s="193" t="str">
        <f>IF(R250 = "", "", COUNT(R$4:$R250))</f>
        <v/>
      </c>
      <c r="Q250" s="193" t="str">
        <f t="shared" si="31"/>
        <v/>
      </c>
      <c r="R250" s="194" t="str">
        <f t="shared" si="32"/>
        <v/>
      </c>
      <c r="S250" s="195" t="str">
        <f t="shared" si="34"/>
        <v/>
      </c>
      <c r="T250" s="196" t="str">
        <f t="shared" si="35"/>
        <v/>
      </c>
      <c r="U250" s="197" t="str">
        <f t="shared" si="36"/>
        <v/>
      </c>
      <c r="V250" s="198" t="str">
        <f t="shared" si="33"/>
        <v/>
      </c>
      <c r="W250" s="339" t="str">
        <f t="shared" si="37"/>
        <v/>
      </c>
      <c r="X250" s="341" t="str">
        <f t="shared" si="38"/>
        <v/>
      </c>
      <c r="Y250" s="277"/>
      <c r="AR250" t="str">
        <f t="shared" si="39"/>
        <v/>
      </c>
      <c r="AS250" t="str">
        <f t="shared" si="40"/>
        <v/>
      </c>
    </row>
    <row r="251" spans="1:45">
      <c r="A251" s="294"/>
      <c r="B251" s="295"/>
      <c r="C251" s="296"/>
      <c r="D251" s="296"/>
      <c r="E251" s="296"/>
      <c r="F251" s="296"/>
      <c r="G251" s="297"/>
      <c r="H251" s="303"/>
      <c r="I251" s="298"/>
      <c r="J251" s="298"/>
      <c r="K251" s="299"/>
      <c r="L251" s="304"/>
      <c r="M251" s="300"/>
      <c r="N251" s="301"/>
      <c r="P251" s="193" t="str">
        <f>IF(R251 = "", "", COUNT(R$4:$R251))</f>
        <v/>
      </c>
      <c r="Q251" s="193" t="str">
        <f t="shared" si="31"/>
        <v/>
      </c>
      <c r="R251" s="194" t="str">
        <f t="shared" si="32"/>
        <v/>
      </c>
      <c r="S251" s="195" t="str">
        <f t="shared" si="34"/>
        <v/>
      </c>
      <c r="T251" s="196" t="str">
        <f t="shared" si="35"/>
        <v/>
      </c>
      <c r="U251" s="197" t="str">
        <f t="shared" si="36"/>
        <v/>
      </c>
      <c r="V251" s="198" t="str">
        <f t="shared" si="33"/>
        <v/>
      </c>
      <c r="W251" s="339" t="str">
        <f t="shared" si="37"/>
        <v/>
      </c>
      <c r="X251" s="341" t="str">
        <f t="shared" si="38"/>
        <v/>
      </c>
      <c r="Y251" s="277"/>
      <c r="AR251" t="str">
        <f t="shared" si="39"/>
        <v/>
      </c>
      <c r="AS251" t="str">
        <f t="shared" si="40"/>
        <v/>
      </c>
    </row>
    <row r="252" spans="1:45">
      <c r="A252" s="294"/>
      <c r="B252" s="295"/>
      <c r="C252" s="296"/>
      <c r="D252" s="296"/>
      <c r="E252" s="296"/>
      <c r="F252" s="296"/>
      <c r="G252" s="297"/>
      <c r="H252" s="303"/>
      <c r="I252" s="298"/>
      <c r="J252" s="298"/>
      <c r="K252" s="299"/>
      <c r="L252" s="304"/>
      <c r="M252" s="300"/>
      <c r="N252" s="301"/>
      <c r="P252" s="193" t="str">
        <f>IF(R252 = "", "", COUNT(R$4:$R252))</f>
        <v/>
      </c>
      <c r="Q252" s="193" t="str">
        <f t="shared" si="31"/>
        <v/>
      </c>
      <c r="R252" s="194" t="str">
        <f t="shared" si="32"/>
        <v/>
      </c>
      <c r="S252" s="195" t="str">
        <f t="shared" si="34"/>
        <v/>
      </c>
      <c r="T252" s="196" t="str">
        <f t="shared" si="35"/>
        <v/>
      </c>
      <c r="U252" s="197" t="str">
        <f t="shared" si="36"/>
        <v/>
      </c>
      <c r="V252" s="198" t="str">
        <f t="shared" si="33"/>
        <v/>
      </c>
      <c r="W252" s="339" t="str">
        <f t="shared" si="37"/>
        <v/>
      </c>
      <c r="X252" s="341" t="str">
        <f t="shared" si="38"/>
        <v/>
      </c>
      <c r="Y252" s="277"/>
      <c r="AR252" t="str">
        <f t="shared" si="39"/>
        <v/>
      </c>
      <c r="AS252" t="str">
        <f t="shared" si="40"/>
        <v/>
      </c>
    </row>
    <row r="253" spans="1:45">
      <c r="A253" s="294"/>
      <c r="B253" s="295"/>
      <c r="C253" s="296"/>
      <c r="D253" s="296"/>
      <c r="E253" s="296"/>
      <c r="F253" s="296"/>
      <c r="G253" s="297"/>
      <c r="H253" s="303"/>
      <c r="I253" s="298"/>
      <c r="J253" s="298"/>
      <c r="K253" s="299"/>
      <c r="L253" s="304"/>
      <c r="M253" s="300"/>
      <c r="N253" s="301"/>
      <c r="P253" s="193" t="str">
        <f>IF(R253 = "", "", COUNT(R$4:$R253))</f>
        <v/>
      </c>
      <c r="Q253" s="193" t="str">
        <f t="shared" si="31"/>
        <v/>
      </c>
      <c r="R253" s="194" t="str">
        <f t="shared" si="32"/>
        <v/>
      </c>
      <c r="S253" s="195" t="str">
        <f t="shared" si="34"/>
        <v/>
      </c>
      <c r="T253" s="196" t="str">
        <f t="shared" si="35"/>
        <v/>
      </c>
      <c r="U253" s="197" t="str">
        <f t="shared" si="36"/>
        <v/>
      </c>
      <c r="V253" s="198" t="str">
        <f t="shared" si="33"/>
        <v/>
      </c>
      <c r="W253" s="339" t="str">
        <f t="shared" si="37"/>
        <v/>
      </c>
      <c r="X253" s="341" t="str">
        <f t="shared" si="38"/>
        <v/>
      </c>
      <c r="Y253" s="277"/>
      <c r="AR253" t="str">
        <f t="shared" si="39"/>
        <v/>
      </c>
      <c r="AS253" t="str">
        <f t="shared" si="40"/>
        <v/>
      </c>
    </row>
    <row r="254" spans="1:45">
      <c r="A254" s="294"/>
      <c r="B254" s="295"/>
      <c r="C254" s="296"/>
      <c r="D254" s="296"/>
      <c r="E254" s="296"/>
      <c r="F254" s="296"/>
      <c r="G254" s="297"/>
      <c r="H254" s="303"/>
      <c r="I254" s="298"/>
      <c r="J254" s="298"/>
      <c r="K254" s="299"/>
      <c r="L254" s="304"/>
      <c r="M254" s="300"/>
      <c r="N254" s="301"/>
      <c r="P254" s="193" t="str">
        <f>IF(R254 = "", "", COUNT(R$4:$R254))</f>
        <v/>
      </c>
      <c r="Q254" s="193" t="str">
        <f t="shared" si="31"/>
        <v/>
      </c>
      <c r="R254" s="194" t="str">
        <f t="shared" si="32"/>
        <v/>
      </c>
      <c r="S254" s="195" t="str">
        <f t="shared" si="34"/>
        <v/>
      </c>
      <c r="T254" s="196" t="str">
        <f t="shared" si="35"/>
        <v/>
      </c>
      <c r="U254" s="197" t="str">
        <f t="shared" si="36"/>
        <v/>
      </c>
      <c r="V254" s="198" t="str">
        <f t="shared" si="33"/>
        <v/>
      </c>
      <c r="W254" s="339" t="str">
        <f t="shared" si="37"/>
        <v/>
      </c>
      <c r="X254" s="341" t="str">
        <f t="shared" si="38"/>
        <v/>
      </c>
      <c r="Y254" s="277"/>
      <c r="AR254" t="str">
        <f t="shared" si="39"/>
        <v/>
      </c>
      <c r="AS254" t="str">
        <f t="shared" si="40"/>
        <v/>
      </c>
    </row>
    <row r="255" spans="1:45">
      <c r="A255" s="294"/>
      <c r="B255" s="295"/>
      <c r="C255" s="296"/>
      <c r="D255" s="296"/>
      <c r="E255" s="296"/>
      <c r="F255" s="296"/>
      <c r="G255" s="297"/>
      <c r="H255" s="303"/>
      <c r="I255" s="298"/>
      <c r="J255" s="298"/>
      <c r="K255" s="299"/>
      <c r="L255" s="304"/>
      <c r="M255" s="300"/>
      <c r="N255" s="301"/>
      <c r="P255" s="193" t="str">
        <f>IF(R255 = "", "", COUNT(R$4:$R255))</f>
        <v/>
      </c>
      <c r="Q255" s="193" t="str">
        <f t="shared" si="31"/>
        <v/>
      </c>
      <c r="R255" s="194" t="str">
        <f t="shared" si="32"/>
        <v/>
      </c>
      <c r="S255" s="195" t="str">
        <f t="shared" si="34"/>
        <v/>
      </c>
      <c r="T255" s="196" t="str">
        <f t="shared" si="35"/>
        <v/>
      </c>
      <c r="U255" s="197" t="str">
        <f t="shared" si="36"/>
        <v/>
      </c>
      <c r="V255" s="198" t="str">
        <f t="shared" si="33"/>
        <v/>
      </c>
      <c r="W255" s="339" t="str">
        <f t="shared" si="37"/>
        <v/>
      </c>
      <c r="X255" s="341" t="str">
        <f t="shared" si="38"/>
        <v/>
      </c>
      <c r="Y255" s="277"/>
      <c r="AR255" t="str">
        <f t="shared" si="39"/>
        <v/>
      </c>
      <c r="AS255" t="str">
        <f t="shared" si="40"/>
        <v/>
      </c>
    </row>
    <row r="256" spans="1:45">
      <c r="A256" s="294"/>
      <c r="B256" s="295"/>
      <c r="C256" s="296"/>
      <c r="D256" s="296"/>
      <c r="E256" s="296"/>
      <c r="F256" s="296"/>
      <c r="G256" s="297"/>
      <c r="H256" s="303"/>
      <c r="I256" s="298"/>
      <c r="J256" s="298"/>
      <c r="K256" s="299"/>
      <c r="L256" s="304"/>
      <c r="M256" s="300"/>
      <c r="N256" s="301"/>
      <c r="P256" s="193" t="str">
        <f>IF(R256 = "", "", COUNT(R$4:$R256))</f>
        <v/>
      </c>
      <c r="Q256" s="193" t="str">
        <f t="shared" si="31"/>
        <v/>
      </c>
      <c r="R256" s="194" t="str">
        <f t="shared" si="32"/>
        <v/>
      </c>
      <c r="S256" s="195" t="str">
        <f t="shared" si="34"/>
        <v/>
      </c>
      <c r="T256" s="196" t="str">
        <f t="shared" si="35"/>
        <v/>
      </c>
      <c r="U256" s="197" t="str">
        <f t="shared" si="36"/>
        <v/>
      </c>
      <c r="V256" s="198" t="str">
        <f t="shared" si="33"/>
        <v/>
      </c>
      <c r="W256" s="339" t="str">
        <f t="shared" si="37"/>
        <v/>
      </c>
      <c r="X256" s="341" t="str">
        <f t="shared" si="38"/>
        <v/>
      </c>
      <c r="Y256" s="277"/>
      <c r="AR256" t="str">
        <f t="shared" si="39"/>
        <v/>
      </c>
      <c r="AS256" t="str">
        <f t="shared" si="40"/>
        <v/>
      </c>
    </row>
    <row r="257" spans="1:45">
      <c r="A257" s="294"/>
      <c r="B257" s="295"/>
      <c r="C257" s="296"/>
      <c r="D257" s="296"/>
      <c r="E257" s="296"/>
      <c r="F257" s="296"/>
      <c r="G257" s="297"/>
      <c r="H257" s="303"/>
      <c r="I257" s="298"/>
      <c r="J257" s="298"/>
      <c r="K257" s="299"/>
      <c r="L257" s="304"/>
      <c r="M257" s="300"/>
      <c r="N257" s="301"/>
      <c r="P257" s="193" t="str">
        <f>IF(R257 = "", "", COUNT(R$4:$R257))</f>
        <v/>
      </c>
      <c r="Q257" s="193" t="str">
        <f t="shared" si="31"/>
        <v/>
      </c>
      <c r="R257" s="194" t="str">
        <f t="shared" si="32"/>
        <v/>
      </c>
      <c r="S257" s="195" t="str">
        <f t="shared" si="34"/>
        <v/>
      </c>
      <c r="T257" s="196" t="str">
        <f t="shared" si="35"/>
        <v/>
      </c>
      <c r="U257" s="197" t="str">
        <f t="shared" si="36"/>
        <v/>
      </c>
      <c r="V257" s="198" t="str">
        <f t="shared" si="33"/>
        <v/>
      </c>
      <c r="W257" s="339" t="str">
        <f t="shared" si="37"/>
        <v/>
      </c>
      <c r="X257" s="341" t="str">
        <f t="shared" si="38"/>
        <v/>
      </c>
      <c r="Y257" s="277"/>
      <c r="AR257" t="str">
        <f t="shared" si="39"/>
        <v/>
      </c>
      <c r="AS257" t="str">
        <f t="shared" si="40"/>
        <v/>
      </c>
    </row>
    <row r="258" spans="1:45">
      <c r="A258" s="294"/>
      <c r="B258" s="295"/>
      <c r="C258" s="296"/>
      <c r="D258" s="296"/>
      <c r="E258" s="296"/>
      <c r="F258" s="296"/>
      <c r="G258" s="297"/>
      <c r="H258" s="303"/>
      <c r="I258" s="298"/>
      <c r="J258" s="298"/>
      <c r="K258" s="299"/>
      <c r="L258" s="304"/>
      <c r="M258" s="300"/>
      <c r="N258" s="301"/>
      <c r="P258" s="193" t="str">
        <f>IF(R258 = "", "", COUNT(R$4:$R258))</f>
        <v/>
      </c>
      <c r="Q258" s="193" t="str">
        <f t="shared" si="31"/>
        <v/>
      </c>
      <c r="R258" s="194" t="str">
        <f t="shared" si="32"/>
        <v/>
      </c>
      <c r="S258" s="195" t="str">
        <f t="shared" si="34"/>
        <v/>
      </c>
      <c r="T258" s="196" t="str">
        <f t="shared" si="35"/>
        <v/>
      </c>
      <c r="U258" s="197" t="str">
        <f t="shared" si="36"/>
        <v/>
      </c>
      <c r="V258" s="198" t="str">
        <f t="shared" si="33"/>
        <v/>
      </c>
      <c r="W258" s="339" t="str">
        <f t="shared" si="37"/>
        <v/>
      </c>
      <c r="X258" s="341" t="str">
        <f t="shared" si="38"/>
        <v/>
      </c>
      <c r="Y258" s="277"/>
      <c r="AR258" t="str">
        <f t="shared" si="39"/>
        <v/>
      </c>
      <c r="AS258" t="str">
        <f t="shared" si="40"/>
        <v/>
      </c>
    </row>
    <row r="259" spans="1:45">
      <c r="A259" s="294"/>
      <c r="B259" s="295"/>
      <c r="C259" s="296"/>
      <c r="D259" s="296"/>
      <c r="E259" s="296"/>
      <c r="F259" s="296"/>
      <c r="G259" s="297"/>
      <c r="H259" s="303"/>
      <c r="I259" s="298"/>
      <c r="J259" s="298"/>
      <c r="K259" s="299"/>
      <c r="L259" s="304"/>
      <c r="M259" s="300"/>
      <c r="N259" s="301"/>
      <c r="P259" s="193" t="str">
        <f>IF(R259 = "", "", COUNT(R$4:$R259))</f>
        <v/>
      </c>
      <c r="Q259" s="193" t="str">
        <f t="shared" si="31"/>
        <v/>
      </c>
      <c r="R259" s="194" t="str">
        <f t="shared" si="32"/>
        <v/>
      </c>
      <c r="S259" s="195" t="str">
        <f t="shared" si="34"/>
        <v/>
      </c>
      <c r="T259" s="196" t="str">
        <f t="shared" si="35"/>
        <v/>
      </c>
      <c r="U259" s="197" t="str">
        <f t="shared" si="36"/>
        <v/>
      </c>
      <c r="V259" s="198" t="str">
        <f t="shared" si="33"/>
        <v/>
      </c>
      <c r="W259" s="339" t="str">
        <f t="shared" si="37"/>
        <v/>
      </c>
      <c r="X259" s="341" t="str">
        <f t="shared" si="38"/>
        <v/>
      </c>
      <c r="Y259" s="277"/>
      <c r="AR259" t="str">
        <f t="shared" si="39"/>
        <v/>
      </c>
      <c r="AS259" t="str">
        <f t="shared" si="40"/>
        <v/>
      </c>
    </row>
    <row r="260" spans="1:45">
      <c r="A260" s="294"/>
      <c r="B260" s="295"/>
      <c r="C260" s="296"/>
      <c r="D260" s="296"/>
      <c r="E260" s="296"/>
      <c r="F260" s="296"/>
      <c r="G260" s="297"/>
      <c r="H260" s="303"/>
      <c r="I260" s="298"/>
      <c r="J260" s="298"/>
      <c r="K260" s="299"/>
      <c r="L260" s="304"/>
      <c r="M260" s="300"/>
      <c r="N260" s="301"/>
      <c r="P260" s="193" t="str">
        <f>IF(R260 = "", "", COUNT(R$4:$R260))</f>
        <v/>
      </c>
      <c r="Q260" s="193" t="str">
        <f t="shared" ref="Q260:Q323" si="41">IF(C260 &gt; 0, YEAR(B260), "")</f>
        <v/>
      </c>
      <c r="R260" s="194" t="str">
        <f t="shared" ref="R260:R323" si="42">IF(A260="", "", IF(G260="",1,IF(G260="O",1,IF(G260="C",8.4,IF(G260="B",8.4,IF(G260="A",76.8,IF(G260="K",76.8,"ERR")))))))</f>
        <v/>
      </c>
      <c r="S260" s="195" t="str">
        <f t="shared" si="34"/>
        <v/>
      </c>
      <c r="T260" s="196" t="str">
        <f t="shared" si="35"/>
        <v/>
      </c>
      <c r="U260" s="197" t="str">
        <f t="shared" si="36"/>
        <v/>
      </c>
      <c r="V260" s="198" t="str">
        <f t="shared" ref="V260:V323" si="43">IF(IF(M260&lt;&gt;"",G260,"")=0, "O", IF(M260&lt;&gt;"",G260,""))</f>
        <v/>
      </c>
      <c r="W260" s="339" t="str">
        <f t="shared" si="37"/>
        <v/>
      </c>
      <c r="X260" s="341" t="str">
        <f t="shared" si="38"/>
        <v/>
      </c>
      <c r="Y260" s="277"/>
      <c r="AR260" t="str">
        <f t="shared" si="39"/>
        <v/>
      </c>
      <c r="AS260" t="str">
        <f t="shared" si="40"/>
        <v/>
      </c>
    </row>
    <row r="261" spans="1:45">
      <c r="A261" s="294"/>
      <c r="B261" s="295"/>
      <c r="C261" s="296"/>
      <c r="D261" s="296"/>
      <c r="E261" s="296"/>
      <c r="F261" s="296"/>
      <c r="G261" s="297"/>
      <c r="H261" s="303"/>
      <c r="I261" s="298"/>
      <c r="J261" s="298"/>
      <c r="K261" s="299"/>
      <c r="L261" s="304"/>
      <c r="M261" s="300"/>
      <c r="N261" s="301"/>
      <c r="P261" s="193" t="str">
        <f>IF(R261 = "", "", COUNT(R$4:$R261))</f>
        <v/>
      </c>
      <c r="Q261" s="193" t="str">
        <f t="shared" si="41"/>
        <v/>
      </c>
      <c r="R261" s="194" t="str">
        <f t="shared" si="42"/>
        <v/>
      </c>
      <c r="S261" s="195" t="str">
        <f t="shared" ref="S261:S324" si="44">IF(L261&lt;&gt;"",R261,"")</f>
        <v/>
      </c>
      <c r="T261" s="196" t="str">
        <f t="shared" ref="T261:T324" si="45">IF(IF(L261&lt;&gt;"",G261,"")=0, "O", IF(L261&lt;&gt;"",G261,""))</f>
        <v/>
      </c>
      <c r="U261" s="197" t="str">
        <f t="shared" ref="U261:U324" si="46">IF(M261&lt;&gt;"",R261,"")</f>
        <v/>
      </c>
      <c r="V261" s="198" t="str">
        <f t="shared" si="43"/>
        <v/>
      </c>
      <c r="W261" s="339" t="str">
        <f t="shared" ref="W261:W324" si="47">IF(N261&lt;&gt;"",R261,"")</f>
        <v/>
      </c>
      <c r="X261" s="341" t="str">
        <f t="shared" ref="X261:X324" si="48">IF(IF(N261&lt;&gt;"",G261,"")=0, "O", IF(N261&lt;&gt;"",G261,""))</f>
        <v/>
      </c>
      <c r="Y261" s="277"/>
      <c r="AR261" t="str">
        <f t="shared" ref="AR261:AR324" si="49">IF(P261&gt;0, P261, "")</f>
        <v/>
      </c>
      <c r="AS261" t="str">
        <f t="shared" ref="AS261:AS324" si="50">IF(OR(L261="Y",M261="Y",N261="Y"),"Y","")</f>
        <v/>
      </c>
    </row>
    <row r="262" spans="1:45">
      <c r="A262" s="294"/>
      <c r="B262" s="295"/>
      <c r="C262" s="296"/>
      <c r="D262" s="296"/>
      <c r="E262" s="296"/>
      <c r="F262" s="296"/>
      <c r="G262" s="297"/>
      <c r="H262" s="303"/>
      <c r="I262" s="298"/>
      <c r="J262" s="298"/>
      <c r="K262" s="299"/>
      <c r="L262" s="304"/>
      <c r="M262" s="300"/>
      <c r="N262" s="301"/>
      <c r="P262" s="193" t="str">
        <f>IF(R262 = "", "", COUNT(R$4:$R262))</f>
        <v/>
      </c>
      <c r="Q262" s="193" t="str">
        <f t="shared" si="41"/>
        <v/>
      </c>
      <c r="R262" s="194" t="str">
        <f t="shared" si="42"/>
        <v/>
      </c>
      <c r="S262" s="195" t="str">
        <f t="shared" si="44"/>
        <v/>
      </c>
      <c r="T262" s="196" t="str">
        <f t="shared" si="45"/>
        <v/>
      </c>
      <c r="U262" s="197" t="str">
        <f t="shared" si="46"/>
        <v/>
      </c>
      <c r="V262" s="198" t="str">
        <f t="shared" si="43"/>
        <v/>
      </c>
      <c r="W262" s="339" t="str">
        <f t="shared" si="47"/>
        <v/>
      </c>
      <c r="X262" s="341" t="str">
        <f t="shared" si="48"/>
        <v/>
      </c>
      <c r="Y262" s="277"/>
      <c r="AR262" t="str">
        <f t="shared" si="49"/>
        <v/>
      </c>
      <c r="AS262" t="str">
        <f t="shared" si="50"/>
        <v/>
      </c>
    </row>
    <row r="263" spans="1:45">
      <c r="A263" s="294"/>
      <c r="B263" s="295"/>
      <c r="C263" s="296"/>
      <c r="D263" s="296"/>
      <c r="E263" s="296"/>
      <c r="F263" s="296"/>
      <c r="G263" s="297"/>
      <c r="H263" s="303"/>
      <c r="I263" s="298"/>
      <c r="J263" s="298"/>
      <c r="K263" s="299"/>
      <c r="L263" s="304"/>
      <c r="M263" s="300"/>
      <c r="N263" s="301"/>
      <c r="P263" s="193" t="str">
        <f>IF(R263 = "", "", COUNT(R$4:$R263))</f>
        <v/>
      </c>
      <c r="Q263" s="193" t="str">
        <f t="shared" si="41"/>
        <v/>
      </c>
      <c r="R263" s="194" t="str">
        <f t="shared" si="42"/>
        <v/>
      </c>
      <c r="S263" s="195" t="str">
        <f t="shared" si="44"/>
        <v/>
      </c>
      <c r="T263" s="196" t="str">
        <f t="shared" si="45"/>
        <v/>
      </c>
      <c r="U263" s="197" t="str">
        <f t="shared" si="46"/>
        <v/>
      </c>
      <c r="V263" s="198" t="str">
        <f t="shared" si="43"/>
        <v/>
      </c>
      <c r="W263" s="339" t="str">
        <f t="shared" si="47"/>
        <v/>
      </c>
      <c r="X263" s="341" t="str">
        <f t="shared" si="48"/>
        <v/>
      </c>
      <c r="Y263" s="277"/>
      <c r="AR263" t="str">
        <f t="shared" si="49"/>
        <v/>
      </c>
      <c r="AS263" t="str">
        <f t="shared" si="50"/>
        <v/>
      </c>
    </row>
    <row r="264" spans="1:45">
      <c r="A264" s="294"/>
      <c r="B264" s="295"/>
      <c r="C264" s="296"/>
      <c r="D264" s="296"/>
      <c r="E264" s="296"/>
      <c r="F264" s="296"/>
      <c r="G264" s="297"/>
      <c r="H264" s="303"/>
      <c r="I264" s="298"/>
      <c r="J264" s="298"/>
      <c r="K264" s="299"/>
      <c r="L264" s="304"/>
      <c r="M264" s="300"/>
      <c r="N264" s="301"/>
      <c r="P264" s="193" t="str">
        <f>IF(R264 = "", "", COUNT(R$4:$R264))</f>
        <v/>
      </c>
      <c r="Q264" s="193" t="str">
        <f t="shared" si="41"/>
        <v/>
      </c>
      <c r="R264" s="194" t="str">
        <f t="shared" si="42"/>
        <v/>
      </c>
      <c r="S264" s="195" t="str">
        <f t="shared" si="44"/>
        <v/>
      </c>
      <c r="T264" s="196" t="str">
        <f t="shared" si="45"/>
        <v/>
      </c>
      <c r="U264" s="197" t="str">
        <f t="shared" si="46"/>
        <v/>
      </c>
      <c r="V264" s="198" t="str">
        <f t="shared" si="43"/>
        <v/>
      </c>
      <c r="W264" s="339" t="str">
        <f t="shared" si="47"/>
        <v/>
      </c>
      <c r="X264" s="341" t="str">
        <f t="shared" si="48"/>
        <v/>
      </c>
      <c r="Y264" s="277"/>
      <c r="AR264" t="str">
        <f t="shared" si="49"/>
        <v/>
      </c>
      <c r="AS264" t="str">
        <f t="shared" si="50"/>
        <v/>
      </c>
    </row>
    <row r="265" spans="1:45">
      <c r="A265" s="294"/>
      <c r="B265" s="295"/>
      <c r="C265" s="296"/>
      <c r="D265" s="296"/>
      <c r="E265" s="296"/>
      <c r="F265" s="296"/>
      <c r="G265" s="297"/>
      <c r="H265" s="303"/>
      <c r="I265" s="298"/>
      <c r="J265" s="298"/>
      <c r="K265" s="299"/>
      <c r="L265" s="304"/>
      <c r="M265" s="300"/>
      <c r="N265" s="301"/>
      <c r="P265" s="193" t="str">
        <f>IF(R265 = "", "", COUNT(R$4:$R265))</f>
        <v/>
      </c>
      <c r="Q265" s="193" t="str">
        <f t="shared" si="41"/>
        <v/>
      </c>
      <c r="R265" s="194" t="str">
        <f t="shared" si="42"/>
        <v/>
      </c>
      <c r="S265" s="195" t="str">
        <f t="shared" si="44"/>
        <v/>
      </c>
      <c r="T265" s="196" t="str">
        <f t="shared" si="45"/>
        <v/>
      </c>
      <c r="U265" s="197" t="str">
        <f t="shared" si="46"/>
        <v/>
      </c>
      <c r="V265" s="198" t="str">
        <f t="shared" si="43"/>
        <v/>
      </c>
      <c r="W265" s="339" t="str">
        <f t="shared" si="47"/>
        <v/>
      </c>
      <c r="X265" s="341" t="str">
        <f t="shared" si="48"/>
        <v/>
      </c>
      <c r="Y265" s="277"/>
      <c r="AR265" t="str">
        <f t="shared" si="49"/>
        <v/>
      </c>
      <c r="AS265" t="str">
        <f t="shared" si="50"/>
        <v/>
      </c>
    </row>
    <row r="266" spans="1:45">
      <c r="A266" s="294"/>
      <c r="B266" s="295"/>
      <c r="C266" s="296"/>
      <c r="D266" s="296"/>
      <c r="E266" s="296"/>
      <c r="F266" s="296"/>
      <c r="G266" s="297"/>
      <c r="H266" s="303"/>
      <c r="I266" s="298"/>
      <c r="J266" s="298"/>
      <c r="K266" s="299"/>
      <c r="L266" s="304"/>
      <c r="M266" s="300"/>
      <c r="N266" s="301"/>
      <c r="P266" s="193" t="str">
        <f>IF(R266 = "", "", COUNT(R$4:$R266))</f>
        <v/>
      </c>
      <c r="Q266" s="193" t="str">
        <f t="shared" si="41"/>
        <v/>
      </c>
      <c r="R266" s="194" t="str">
        <f t="shared" si="42"/>
        <v/>
      </c>
      <c r="S266" s="195" t="str">
        <f t="shared" si="44"/>
        <v/>
      </c>
      <c r="T266" s="196" t="str">
        <f t="shared" si="45"/>
        <v/>
      </c>
      <c r="U266" s="197" t="str">
        <f t="shared" si="46"/>
        <v/>
      </c>
      <c r="V266" s="198" t="str">
        <f t="shared" si="43"/>
        <v/>
      </c>
      <c r="W266" s="339" t="str">
        <f t="shared" si="47"/>
        <v/>
      </c>
      <c r="X266" s="341" t="str">
        <f t="shared" si="48"/>
        <v/>
      </c>
      <c r="Y266" s="277"/>
      <c r="AR266" t="str">
        <f t="shared" si="49"/>
        <v/>
      </c>
      <c r="AS266" t="str">
        <f t="shared" si="50"/>
        <v/>
      </c>
    </row>
    <row r="267" spans="1:45">
      <c r="A267" s="294"/>
      <c r="B267" s="295"/>
      <c r="C267" s="296"/>
      <c r="D267" s="296"/>
      <c r="E267" s="296"/>
      <c r="F267" s="296"/>
      <c r="G267" s="297"/>
      <c r="H267" s="303"/>
      <c r="I267" s="298"/>
      <c r="J267" s="298"/>
      <c r="K267" s="299"/>
      <c r="L267" s="304"/>
      <c r="M267" s="300"/>
      <c r="N267" s="301"/>
      <c r="P267" s="193" t="str">
        <f>IF(R267 = "", "", COUNT(R$4:$R267))</f>
        <v/>
      </c>
      <c r="Q267" s="193" t="str">
        <f t="shared" si="41"/>
        <v/>
      </c>
      <c r="R267" s="194" t="str">
        <f t="shared" si="42"/>
        <v/>
      </c>
      <c r="S267" s="195" t="str">
        <f t="shared" si="44"/>
        <v/>
      </c>
      <c r="T267" s="196" t="str">
        <f t="shared" si="45"/>
        <v/>
      </c>
      <c r="U267" s="197" t="str">
        <f t="shared" si="46"/>
        <v/>
      </c>
      <c r="V267" s="198" t="str">
        <f t="shared" si="43"/>
        <v/>
      </c>
      <c r="W267" s="339" t="str">
        <f t="shared" si="47"/>
        <v/>
      </c>
      <c r="X267" s="341" t="str">
        <f t="shared" si="48"/>
        <v/>
      </c>
      <c r="Y267" s="277"/>
      <c r="AR267" t="str">
        <f t="shared" si="49"/>
        <v/>
      </c>
      <c r="AS267" t="str">
        <f t="shared" si="50"/>
        <v/>
      </c>
    </row>
    <row r="268" spans="1:45">
      <c r="A268" s="294"/>
      <c r="B268" s="295"/>
      <c r="C268" s="296"/>
      <c r="D268" s="296"/>
      <c r="E268" s="296"/>
      <c r="F268" s="296"/>
      <c r="G268" s="297"/>
      <c r="H268" s="303"/>
      <c r="I268" s="298"/>
      <c r="J268" s="298"/>
      <c r="K268" s="299"/>
      <c r="L268" s="304"/>
      <c r="M268" s="300"/>
      <c r="N268" s="301"/>
      <c r="P268" s="193" t="str">
        <f>IF(R268 = "", "", COUNT(R$4:$R268))</f>
        <v/>
      </c>
      <c r="Q268" s="193" t="str">
        <f t="shared" si="41"/>
        <v/>
      </c>
      <c r="R268" s="194" t="str">
        <f t="shared" si="42"/>
        <v/>
      </c>
      <c r="S268" s="195" t="str">
        <f t="shared" si="44"/>
        <v/>
      </c>
      <c r="T268" s="196" t="str">
        <f t="shared" si="45"/>
        <v/>
      </c>
      <c r="U268" s="197" t="str">
        <f t="shared" si="46"/>
        <v/>
      </c>
      <c r="V268" s="198" t="str">
        <f t="shared" si="43"/>
        <v/>
      </c>
      <c r="W268" s="339" t="str">
        <f t="shared" si="47"/>
        <v/>
      </c>
      <c r="X268" s="341" t="str">
        <f t="shared" si="48"/>
        <v/>
      </c>
      <c r="Y268" s="277"/>
      <c r="AR268" t="str">
        <f t="shared" si="49"/>
        <v/>
      </c>
      <c r="AS268" t="str">
        <f t="shared" si="50"/>
        <v/>
      </c>
    </row>
    <row r="269" spans="1:45">
      <c r="A269" s="294"/>
      <c r="B269" s="295"/>
      <c r="C269" s="296"/>
      <c r="D269" s="296"/>
      <c r="E269" s="296"/>
      <c r="F269" s="296"/>
      <c r="G269" s="297"/>
      <c r="H269" s="303"/>
      <c r="I269" s="298"/>
      <c r="J269" s="298"/>
      <c r="K269" s="299"/>
      <c r="L269" s="304"/>
      <c r="M269" s="300"/>
      <c r="N269" s="301"/>
      <c r="P269" s="193" t="str">
        <f>IF(R269 = "", "", COUNT(R$4:$R269))</f>
        <v/>
      </c>
      <c r="Q269" s="193" t="str">
        <f t="shared" si="41"/>
        <v/>
      </c>
      <c r="R269" s="194" t="str">
        <f t="shared" si="42"/>
        <v/>
      </c>
      <c r="S269" s="195" t="str">
        <f t="shared" si="44"/>
        <v/>
      </c>
      <c r="T269" s="196" t="str">
        <f t="shared" si="45"/>
        <v/>
      </c>
      <c r="U269" s="197" t="str">
        <f t="shared" si="46"/>
        <v/>
      </c>
      <c r="V269" s="198" t="str">
        <f t="shared" si="43"/>
        <v/>
      </c>
      <c r="W269" s="339" t="str">
        <f t="shared" si="47"/>
        <v/>
      </c>
      <c r="X269" s="341" t="str">
        <f t="shared" si="48"/>
        <v/>
      </c>
      <c r="Y269" s="277"/>
      <c r="AR269" t="str">
        <f t="shared" si="49"/>
        <v/>
      </c>
      <c r="AS269" t="str">
        <f t="shared" si="50"/>
        <v/>
      </c>
    </row>
    <row r="270" spans="1:45">
      <c r="A270" s="294"/>
      <c r="B270" s="295"/>
      <c r="C270" s="296"/>
      <c r="D270" s="296"/>
      <c r="E270" s="296"/>
      <c r="F270" s="296"/>
      <c r="G270" s="297"/>
      <c r="H270" s="303"/>
      <c r="I270" s="298"/>
      <c r="J270" s="298"/>
      <c r="K270" s="299"/>
      <c r="L270" s="304"/>
      <c r="M270" s="300"/>
      <c r="N270" s="301"/>
      <c r="P270" s="193" t="str">
        <f>IF(R270 = "", "", COUNT(R$4:$R270))</f>
        <v/>
      </c>
      <c r="Q270" s="193" t="str">
        <f t="shared" si="41"/>
        <v/>
      </c>
      <c r="R270" s="194" t="str">
        <f t="shared" si="42"/>
        <v/>
      </c>
      <c r="S270" s="195" t="str">
        <f t="shared" si="44"/>
        <v/>
      </c>
      <c r="T270" s="196" t="str">
        <f t="shared" si="45"/>
        <v/>
      </c>
      <c r="U270" s="197" t="str">
        <f t="shared" si="46"/>
        <v/>
      </c>
      <c r="V270" s="198" t="str">
        <f t="shared" si="43"/>
        <v/>
      </c>
      <c r="W270" s="339" t="str">
        <f t="shared" si="47"/>
        <v/>
      </c>
      <c r="X270" s="341" t="str">
        <f t="shared" si="48"/>
        <v/>
      </c>
      <c r="Y270" s="277"/>
      <c r="AR270" t="str">
        <f t="shared" si="49"/>
        <v/>
      </c>
      <c r="AS270" t="str">
        <f t="shared" si="50"/>
        <v/>
      </c>
    </row>
    <row r="271" spans="1:45">
      <c r="A271" s="294"/>
      <c r="B271" s="295"/>
      <c r="C271" s="296"/>
      <c r="D271" s="296"/>
      <c r="E271" s="296"/>
      <c r="F271" s="296"/>
      <c r="G271" s="297"/>
      <c r="H271" s="303"/>
      <c r="I271" s="298"/>
      <c r="J271" s="298"/>
      <c r="K271" s="299"/>
      <c r="L271" s="304"/>
      <c r="M271" s="300"/>
      <c r="N271" s="301"/>
      <c r="P271" s="193" t="str">
        <f>IF(R271 = "", "", COUNT(R$4:$R271))</f>
        <v/>
      </c>
      <c r="Q271" s="193" t="str">
        <f t="shared" si="41"/>
        <v/>
      </c>
      <c r="R271" s="194" t="str">
        <f t="shared" si="42"/>
        <v/>
      </c>
      <c r="S271" s="195" t="str">
        <f t="shared" si="44"/>
        <v/>
      </c>
      <c r="T271" s="196" t="str">
        <f t="shared" si="45"/>
        <v/>
      </c>
      <c r="U271" s="197" t="str">
        <f t="shared" si="46"/>
        <v/>
      </c>
      <c r="V271" s="198" t="str">
        <f t="shared" si="43"/>
        <v/>
      </c>
      <c r="W271" s="339" t="str">
        <f t="shared" si="47"/>
        <v/>
      </c>
      <c r="X271" s="341" t="str">
        <f t="shared" si="48"/>
        <v/>
      </c>
      <c r="Y271" s="277"/>
      <c r="AR271" t="str">
        <f t="shared" si="49"/>
        <v/>
      </c>
      <c r="AS271" t="str">
        <f t="shared" si="50"/>
        <v/>
      </c>
    </row>
    <row r="272" spans="1:45">
      <c r="A272" s="294"/>
      <c r="B272" s="295"/>
      <c r="C272" s="296"/>
      <c r="D272" s="296"/>
      <c r="E272" s="296"/>
      <c r="F272" s="296"/>
      <c r="G272" s="297"/>
      <c r="H272" s="303"/>
      <c r="I272" s="298"/>
      <c r="J272" s="298"/>
      <c r="K272" s="299"/>
      <c r="L272" s="304"/>
      <c r="M272" s="300"/>
      <c r="N272" s="301"/>
      <c r="P272" s="193" t="str">
        <f>IF(R272 = "", "", COUNT(R$4:$R272))</f>
        <v/>
      </c>
      <c r="Q272" s="193" t="str">
        <f t="shared" si="41"/>
        <v/>
      </c>
      <c r="R272" s="194" t="str">
        <f t="shared" si="42"/>
        <v/>
      </c>
      <c r="S272" s="195" t="str">
        <f t="shared" si="44"/>
        <v/>
      </c>
      <c r="T272" s="196" t="str">
        <f t="shared" si="45"/>
        <v/>
      </c>
      <c r="U272" s="197" t="str">
        <f t="shared" si="46"/>
        <v/>
      </c>
      <c r="V272" s="198" t="str">
        <f t="shared" si="43"/>
        <v/>
      </c>
      <c r="W272" s="339" t="str">
        <f t="shared" si="47"/>
        <v/>
      </c>
      <c r="X272" s="341" t="str">
        <f t="shared" si="48"/>
        <v/>
      </c>
      <c r="Y272" s="277"/>
      <c r="AR272" t="str">
        <f t="shared" si="49"/>
        <v/>
      </c>
      <c r="AS272" t="str">
        <f t="shared" si="50"/>
        <v/>
      </c>
    </row>
    <row r="273" spans="1:45">
      <c r="A273" s="294"/>
      <c r="B273" s="295"/>
      <c r="C273" s="296"/>
      <c r="D273" s="296"/>
      <c r="E273" s="296"/>
      <c r="F273" s="296"/>
      <c r="G273" s="297"/>
      <c r="H273" s="303"/>
      <c r="I273" s="298"/>
      <c r="J273" s="298"/>
      <c r="K273" s="299"/>
      <c r="L273" s="304"/>
      <c r="M273" s="300"/>
      <c r="N273" s="301"/>
      <c r="P273" s="193" t="str">
        <f>IF(R273 = "", "", COUNT(R$4:$R273))</f>
        <v/>
      </c>
      <c r="Q273" s="193" t="str">
        <f t="shared" si="41"/>
        <v/>
      </c>
      <c r="R273" s="194" t="str">
        <f t="shared" si="42"/>
        <v/>
      </c>
      <c r="S273" s="195" t="str">
        <f t="shared" si="44"/>
        <v/>
      </c>
      <c r="T273" s="196" t="str">
        <f t="shared" si="45"/>
        <v/>
      </c>
      <c r="U273" s="197" t="str">
        <f t="shared" si="46"/>
        <v/>
      </c>
      <c r="V273" s="198" t="str">
        <f t="shared" si="43"/>
        <v/>
      </c>
      <c r="W273" s="339" t="str">
        <f t="shared" si="47"/>
        <v/>
      </c>
      <c r="X273" s="341" t="str">
        <f t="shared" si="48"/>
        <v/>
      </c>
      <c r="Y273" s="277"/>
      <c r="AR273" t="str">
        <f t="shared" si="49"/>
        <v/>
      </c>
      <c r="AS273" t="str">
        <f t="shared" si="50"/>
        <v/>
      </c>
    </row>
    <row r="274" spans="1:45">
      <c r="A274" s="294"/>
      <c r="B274" s="295"/>
      <c r="C274" s="296"/>
      <c r="D274" s="296"/>
      <c r="E274" s="296"/>
      <c r="F274" s="296"/>
      <c r="G274" s="297"/>
      <c r="H274" s="303"/>
      <c r="I274" s="298"/>
      <c r="J274" s="298"/>
      <c r="K274" s="299"/>
      <c r="L274" s="304"/>
      <c r="M274" s="300"/>
      <c r="N274" s="301"/>
      <c r="P274" s="193" t="str">
        <f>IF(R274 = "", "", COUNT(R$4:$R274))</f>
        <v/>
      </c>
      <c r="Q274" s="193" t="str">
        <f t="shared" si="41"/>
        <v/>
      </c>
      <c r="R274" s="194" t="str">
        <f t="shared" si="42"/>
        <v/>
      </c>
      <c r="S274" s="195" t="str">
        <f t="shared" si="44"/>
        <v/>
      </c>
      <c r="T274" s="196" t="str">
        <f t="shared" si="45"/>
        <v/>
      </c>
      <c r="U274" s="197" t="str">
        <f t="shared" si="46"/>
        <v/>
      </c>
      <c r="V274" s="198" t="str">
        <f t="shared" si="43"/>
        <v/>
      </c>
      <c r="W274" s="339" t="str">
        <f t="shared" si="47"/>
        <v/>
      </c>
      <c r="X274" s="341" t="str">
        <f t="shared" si="48"/>
        <v/>
      </c>
      <c r="Y274" s="277"/>
      <c r="AR274" t="str">
        <f t="shared" si="49"/>
        <v/>
      </c>
      <c r="AS274" t="str">
        <f t="shared" si="50"/>
        <v/>
      </c>
    </row>
    <row r="275" spans="1:45">
      <c r="A275" s="294"/>
      <c r="B275" s="295"/>
      <c r="C275" s="296"/>
      <c r="D275" s="296"/>
      <c r="E275" s="296"/>
      <c r="F275" s="296"/>
      <c r="G275" s="297"/>
      <c r="H275" s="303"/>
      <c r="I275" s="298"/>
      <c r="J275" s="298"/>
      <c r="K275" s="299"/>
      <c r="L275" s="304"/>
      <c r="M275" s="300"/>
      <c r="N275" s="301"/>
      <c r="P275" s="193" t="str">
        <f>IF(R275 = "", "", COUNT(R$4:$R275))</f>
        <v/>
      </c>
      <c r="Q275" s="193" t="str">
        <f t="shared" si="41"/>
        <v/>
      </c>
      <c r="R275" s="194" t="str">
        <f t="shared" si="42"/>
        <v/>
      </c>
      <c r="S275" s="195" t="str">
        <f t="shared" si="44"/>
        <v/>
      </c>
      <c r="T275" s="196" t="str">
        <f t="shared" si="45"/>
        <v/>
      </c>
      <c r="U275" s="197" t="str">
        <f t="shared" si="46"/>
        <v/>
      </c>
      <c r="V275" s="198" t="str">
        <f t="shared" si="43"/>
        <v/>
      </c>
      <c r="W275" s="339" t="str">
        <f t="shared" si="47"/>
        <v/>
      </c>
      <c r="X275" s="341" t="str">
        <f t="shared" si="48"/>
        <v/>
      </c>
      <c r="Y275" s="277"/>
      <c r="AR275" t="str">
        <f t="shared" si="49"/>
        <v/>
      </c>
      <c r="AS275" t="str">
        <f t="shared" si="50"/>
        <v/>
      </c>
    </row>
    <row r="276" spans="1:45">
      <c r="A276" s="294"/>
      <c r="B276" s="295"/>
      <c r="C276" s="296"/>
      <c r="D276" s="296"/>
      <c r="E276" s="296"/>
      <c r="F276" s="296"/>
      <c r="G276" s="297"/>
      <c r="H276" s="303"/>
      <c r="I276" s="298"/>
      <c r="J276" s="298"/>
      <c r="K276" s="299"/>
      <c r="L276" s="304"/>
      <c r="M276" s="300"/>
      <c r="N276" s="301"/>
      <c r="P276" s="193" t="str">
        <f>IF(R276 = "", "", COUNT(R$4:$R276))</f>
        <v/>
      </c>
      <c r="Q276" s="193" t="str">
        <f t="shared" si="41"/>
        <v/>
      </c>
      <c r="R276" s="194" t="str">
        <f t="shared" si="42"/>
        <v/>
      </c>
      <c r="S276" s="195" t="str">
        <f t="shared" si="44"/>
        <v/>
      </c>
      <c r="T276" s="196" t="str">
        <f t="shared" si="45"/>
        <v/>
      </c>
      <c r="U276" s="197" t="str">
        <f t="shared" si="46"/>
        <v/>
      </c>
      <c r="V276" s="198" t="str">
        <f t="shared" si="43"/>
        <v/>
      </c>
      <c r="W276" s="339" t="str">
        <f t="shared" si="47"/>
        <v/>
      </c>
      <c r="X276" s="341" t="str">
        <f t="shared" si="48"/>
        <v/>
      </c>
      <c r="Y276" s="277"/>
      <c r="AR276" t="str">
        <f t="shared" si="49"/>
        <v/>
      </c>
      <c r="AS276" t="str">
        <f t="shared" si="50"/>
        <v/>
      </c>
    </row>
    <row r="277" spans="1:45">
      <c r="A277" s="294"/>
      <c r="B277" s="295"/>
      <c r="C277" s="296"/>
      <c r="D277" s="296"/>
      <c r="E277" s="296"/>
      <c r="F277" s="296"/>
      <c r="G277" s="297"/>
      <c r="H277" s="303"/>
      <c r="I277" s="298"/>
      <c r="J277" s="298"/>
      <c r="K277" s="299"/>
      <c r="L277" s="304"/>
      <c r="M277" s="300"/>
      <c r="N277" s="301"/>
      <c r="P277" s="193" t="str">
        <f>IF(R277 = "", "", COUNT(R$4:$R277))</f>
        <v/>
      </c>
      <c r="Q277" s="193" t="str">
        <f t="shared" si="41"/>
        <v/>
      </c>
      <c r="R277" s="194" t="str">
        <f t="shared" si="42"/>
        <v/>
      </c>
      <c r="S277" s="195" t="str">
        <f t="shared" si="44"/>
        <v/>
      </c>
      <c r="T277" s="196" t="str">
        <f t="shared" si="45"/>
        <v/>
      </c>
      <c r="U277" s="197" t="str">
        <f t="shared" si="46"/>
        <v/>
      </c>
      <c r="V277" s="198" t="str">
        <f t="shared" si="43"/>
        <v/>
      </c>
      <c r="W277" s="339" t="str">
        <f t="shared" si="47"/>
        <v/>
      </c>
      <c r="X277" s="341" t="str">
        <f t="shared" si="48"/>
        <v/>
      </c>
      <c r="Y277" s="277"/>
      <c r="AR277" t="str">
        <f t="shared" si="49"/>
        <v/>
      </c>
      <c r="AS277" t="str">
        <f t="shared" si="50"/>
        <v/>
      </c>
    </row>
    <row r="278" spans="1:45">
      <c r="A278" s="294"/>
      <c r="B278" s="295"/>
      <c r="C278" s="296"/>
      <c r="D278" s="296"/>
      <c r="E278" s="296"/>
      <c r="F278" s="296"/>
      <c r="G278" s="297"/>
      <c r="H278" s="303"/>
      <c r="I278" s="298"/>
      <c r="J278" s="298"/>
      <c r="K278" s="299"/>
      <c r="L278" s="304"/>
      <c r="M278" s="300"/>
      <c r="N278" s="301"/>
      <c r="P278" s="193" t="str">
        <f>IF(R278 = "", "", COUNT(R$4:$R278))</f>
        <v/>
      </c>
      <c r="Q278" s="193" t="str">
        <f t="shared" si="41"/>
        <v/>
      </c>
      <c r="R278" s="194" t="str">
        <f t="shared" si="42"/>
        <v/>
      </c>
      <c r="S278" s="195" t="str">
        <f t="shared" si="44"/>
        <v/>
      </c>
      <c r="T278" s="196" t="str">
        <f t="shared" si="45"/>
        <v/>
      </c>
      <c r="U278" s="197" t="str">
        <f t="shared" si="46"/>
        <v/>
      </c>
      <c r="V278" s="198" t="str">
        <f t="shared" si="43"/>
        <v/>
      </c>
      <c r="W278" s="339" t="str">
        <f t="shared" si="47"/>
        <v/>
      </c>
      <c r="X278" s="341" t="str">
        <f t="shared" si="48"/>
        <v/>
      </c>
      <c r="Y278" s="277"/>
      <c r="AR278" t="str">
        <f t="shared" si="49"/>
        <v/>
      </c>
      <c r="AS278" t="str">
        <f t="shared" si="50"/>
        <v/>
      </c>
    </row>
    <row r="279" spans="1:45">
      <c r="A279" s="294"/>
      <c r="B279" s="295"/>
      <c r="C279" s="296"/>
      <c r="D279" s="296"/>
      <c r="E279" s="296"/>
      <c r="F279" s="296"/>
      <c r="G279" s="297"/>
      <c r="H279" s="303"/>
      <c r="I279" s="298"/>
      <c r="J279" s="298"/>
      <c r="K279" s="299"/>
      <c r="L279" s="304"/>
      <c r="M279" s="300"/>
      <c r="N279" s="301"/>
      <c r="P279" s="193" t="str">
        <f>IF(R279 = "", "", COUNT(R$4:$R279))</f>
        <v/>
      </c>
      <c r="Q279" s="193" t="str">
        <f t="shared" si="41"/>
        <v/>
      </c>
      <c r="R279" s="194" t="str">
        <f t="shared" si="42"/>
        <v/>
      </c>
      <c r="S279" s="195" t="str">
        <f t="shared" si="44"/>
        <v/>
      </c>
      <c r="T279" s="196" t="str">
        <f t="shared" si="45"/>
        <v/>
      </c>
      <c r="U279" s="197" t="str">
        <f t="shared" si="46"/>
        <v/>
      </c>
      <c r="V279" s="198" t="str">
        <f t="shared" si="43"/>
        <v/>
      </c>
      <c r="W279" s="339" t="str">
        <f t="shared" si="47"/>
        <v/>
      </c>
      <c r="X279" s="341" t="str">
        <f t="shared" si="48"/>
        <v/>
      </c>
      <c r="Y279" s="277"/>
      <c r="AR279" t="str">
        <f t="shared" si="49"/>
        <v/>
      </c>
      <c r="AS279" t="str">
        <f t="shared" si="50"/>
        <v/>
      </c>
    </row>
    <row r="280" spans="1:45">
      <c r="A280" s="294"/>
      <c r="B280" s="295"/>
      <c r="C280" s="296"/>
      <c r="D280" s="296"/>
      <c r="E280" s="296"/>
      <c r="F280" s="296"/>
      <c r="G280" s="297"/>
      <c r="H280" s="303"/>
      <c r="I280" s="298"/>
      <c r="J280" s="298"/>
      <c r="K280" s="299"/>
      <c r="L280" s="304"/>
      <c r="M280" s="300"/>
      <c r="N280" s="301"/>
      <c r="P280" s="193" t="str">
        <f>IF(R280 = "", "", COUNT(R$4:$R280))</f>
        <v/>
      </c>
      <c r="Q280" s="193" t="str">
        <f t="shared" si="41"/>
        <v/>
      </c>
      <c r="R280" s="194" t="str">
        <f t="shared" si="42"/>
        <v/>
      </c>
      <c r="S280" s="195" t="str">
        <f t="shared" si="44"/>
        <v/>
      </c>
      <c r="T280" s="196" t="str">
        <f t="shared" si="45"/>
        <v/>
      </c>
      <c r="U280" s="197" t="str">
        <f t="shared" si="46"/>
        <v/>
      </c>
      <c r="V280" s="198" t="str">
        <f t="shared" si="43"/>
        <v/>
      </c>
      <c r="W280" s="339" t="str">
        <f t="shared" si="47"/>
        <v/>
      </c>
      <c r="X280" s="341" t="str">
        <f t="shared" si="48"/>
        <v/>
      </c>
      <c r="Y280" s="277"/>
      <c r="AR280" t="str">
        <f t="shared" si="49"/>
        <v/>
      </c>
      <c r="AS280" t="str">
        <f t="shared" si="50"/>
        <v/>
      </c>
    </row>
    <row r="281" spans="1:45">
      <c r="A281" s="294"/>
      <c r="B281" s="295"/>
      <c r="C281" s="296"/>
      <c r="D281" s="296"/>
      <c r="E281" s="296"/>
      <c r="F281" s="296"/>
      <c r="G281" s="297"/>
      <c r="H281" s="303"/>
      <c r="I281" s="298"/>
      <c r="J281" s="298"/>
      <c r="K281" s="299"/>
      <c r="L281" s="304"/>
      <c r="M281" s="300"/>
      <c r="N281" s="301"/>
      <c r="P281" s="193" t="str">
        <f>IF(R281 = "", "", COUNT(R$4:$R281))</f>
        <v/>
      </c>
      <c r="Q281" s="193" t="str">
        <f t="shared" si="41"/>
        <v/>
      </c>
      <c r="R281" s="194" t="str">
        <f t="shared" si="42"/>
        <v/>
      </c>
      <c r="S281" s="195" t="str">
        <f t="shared" si="44"/>
        <v/>
      </c>
      <c r="T281" s="196" t="str">
        <f t="shared" si="45"/>
        <v/>
      </c>
      <c r="U281" s="197" t="str">
        <f t="shared" si="46"/>
        <v/>
      </c>
      <c r="V281" s="198" t="str">
        <f t="shared" si="43"/>
        <v/>
      </c>
      <c r="W281" s="339" t="str">
        <f t="shared" si="47"/>
        <v/>
      </c>
      <c r="X281" s="341" t="str">
        <f t="shared" si="48"/>
        <v/>
      </c>
      <c r="Y281" s="277"/>
      <c r="AR281" t="str">
        <f t="shared" si="49"/>
        <v/>
      </c>
      <c r="AS281" t="str">
        <f t="shared" si="50"/>
        <v/>
      </c>
    </row>
    <row r="282" spans="1:45">
      <c r="A282" s="294"/>
      <c r="B282" s="295"/>
      <c r="C282" s="296"/>
      <c r="D282" s="296"/>
      <c r="E282" s="296"/>
      <c r="F282" s="296"/>
      <c r="G282" s="297"/>
      <c r="H282" s="303"/>
      <c r="I282" s="298"/>
      <c r="J282" s="298"/>
      <c r="K282" s="299"/>
      <c r="L282" s="304"/>
      <c r="M282" s="300"/>
      <c r="N282" s="301"/>
      <c r="P282" s="193" t="str">
        <f>IF(R282 = "", "", COUNT(R$4:$R282))</f>
        <v/>
      </c>
      <c r="Q282" s="193" t="str">
        <f t="shared" si="41"/>
        <v/>
      </c>
      <c r="R282" s="194" t="str">
        <f t="shared" si="42"/>
        <v/>
      </c>
      <c r="S282" s="195" t="str">
        <f t="shared" si="44"/>
        <v/>
      </c>
      <c r="T282" s="196" t="str">
        <f t="shared" si="45"/>
        <v/>
      </c>
      <c r="U282" s="197" t="str">
        <f t="shared" si="46"/>
        <v/>
      </c>
      <c r="V282" s="198" t="str">
        <f t="shared" si="43"/>
        <v/>
      </c>
      <c r="W282" s="339" t="str">
        <f t="shared" si="47"/>
        <v/>
      </c>
      <c r="X282" s="341" t="str">
        <f t="shared" si="48"/>
        <v/>
      </c>
      <c r="Y282" s="277"/>
      <c r="AR282" t="str">
        <f t="shared" si="49"/>
        <v/>
      </c>
      <c r="AS282" t="str">
        <f t="shared" si="50"/>
        <v/>
      </c>
    </row>
    <row r="283" spans="1:45">
      <c r="A283" s="294"/>
      <c r="B283" s="295"/>
      <c r="C283" s="296"/>
      <c r="D283" s="296"/>
      <c r="E283" s="296"/>
      <c r="F283" s="296"/>
      <c r="G283" s="297"/>
      <c r="H283" s="303"/>
      <c r="I283" s="298"/>
      <c r="J283" s="298"/>
      <c r="K283" s="299"/>
      <c r="L283" s="304"/>
      <c r="M283" s="300"/>
      <c r="N283" s="301"/>
      <c r="P283" s="193" t="str">
        <f>IF(R283 = "", "", COUNT(R$4:$R283))</f>
        <v/>
      </c>
      <c r="Q283" s="193" t="str">
        <f t="shared" si="41"/>
        <v/>
      </c>
      <c r="R283" s="194" t="str">
        <f t="shared" si="42"/>
        <v/>
      </c>
      <c r="S283" s="195" t="str">
        <f t="shared" si="44"/>
        <v/>
      </c>
      <c r="T283" s="196" t="str">
        <f t="shared" si="45"/>
        <v/>
      </c>
      <c r="U283" s="197" t="str">
        <f t="shared" si="46"/>
        <v/>
      </c>
      <c r="V283" s="198" t="str">
        <f t="shared" si="43"/>
        <v/>
      </c>
      <c r="W283" s="339" t="str">
        <f t="shared" si="47"/>
        <v/>
      </c>
      <c r="X283" s="341" t="str">
        <f t="shared" si="48"/>
        <v/>
      </c>
      <c r="Y283" s="277"/>
      <c r="AR283" t="str">
        <f t="shared" si="49"/>
        <v/>
      </c>
      <c r="AS283" t="str">
        <f t="shared" si="50"/>
        <v/>
      </c>
    </row>
    <row r="284" spans="1:45">
      <c r="A284" s="294"/>
      <c r="B284" s="295"/>
      <c r="C284" s="296"/>
      <c r="D284" s="296"/>
      <c r="E284" s="296"/>
      <c r="F284" s="296"/>
      <c r="G284" s="297"/>
      <c r="H284" s="303"/>
      <c r="I284" s="298"/>
      <c r="J284" s="298"/>
      <c r="K284" s="299"/>
      <c r="L284" s="304"/>
      <c r="M284" s="300"/>
      <c r="N284" s="301"/>
      <c r="P284" s="193" t="str">
        <f>IF(R284 = "", "", COUNT(R$4:$R284))</f>
        <v/>
      </c>
      <c r="Q284" s="193" t="str">
        <f t="shared" si="41"/>
        <v/>
      </c>
      <c r="R284" s="194" t="str">
        <f t="shared" si="42"/>
        <v/>
      </c>
      <c r="S284" s="195" t="str">
        <f t="shared" si="44"/>
        <v/>
      </c>
      <c r="T284" s="196" t="str">
        <f t="shared" si="45"/>
        <v/>
      </c>
      <c r="U284" s="197" t="str">
        <f t="shared" si="46"/>
        <v/>
      </c>
      <c r="V284" s="198" t="str">
        <f t="shared" si="43"/>
        <v/>
      </c>
      <c r="W284" s="339" t="str">
        <f t="shared" si="47"/>
        <v/>
      </c>
      <c r="X284" s="341" t="str">
        <f t="shared" si="48"/>
        <v/>
      </c>
      <c r="Y284" s="277"/>
      <c r="AR284" t="str">
        <f t="shared" si="49"/>
        <v/>
      </c>
      <c r="AS284" t="str">
        <f t="shared" si="50"/>
        <v/>
      </c>
    </row>
    <row r="285" spans="1:45">
      <c r="A285" s="294"/>
      <c r="B285" s="295"/>
      <c r="C285" s="296"/>
      <c r="D285" s="296"/>
      <c r="E285" s="296"/>
      <c r="F285" s="296"/>
      <c r="G285" s="297"/>
      <c r="H285" s="303"/>
      <c r="I285" s="298"/>
      <c r="J285" s="298"/>
      <c r="K285" s="299"/>
      <c r="L285" s="304"/>
      <c r="M285" s="300"/>
      <c r="N285" s="301"/>
      <c r="P285" s="193" t="str">
        <f>IF(R285 = "", "", COUNT(R$4:$R285))</f>
        <v/>
      </c>
      <c r="Q285" s="193" t="str">
        <f t="shared" si="41"/>
        <v/>
      </c>
      <c r="R285" s="194" t="str">
        <f t="shared" si="42"/>
        <v/>
      </c>
      <c r="S285" s="195" t="str">
        <f t="shared" si="44"/>
        <v/>
      </c>
      <c r="T285" s="196" t="str">
        <f t="shared" si="45"/>
        <v/>
      </c>
      <c r="U285" s="197" t="str">
        <f t="shared" si="46"/>
        <v/>
      </c>
      <c r="V285" s="198" t="str">
        <f t="shared" si="43"/>
        <v/>
      </c>
      <c r="W285" s="339" t="str">
        <f t="shared" si="47"/>
        <v/>
      </c>
      <c r="X285" s="341" t="str">
        <f t="shared" si="48"/>
        <v/>
      </c>
      <c r="Y285" s="277"/>
      <c r="AR285" t="str">
        <f t="shared" si="49"/>
        <v/>
      </c>
      <c r="AS285" t="str">
        <f t="shared" si="50"/>
        <v/>
      </c>
    </row>
    <row r="286" spans="1:45">
      <c r="A286" s="294"/>
      <c r="B286" s="295"/>
      <c r="C286" s="296"/>
      <c r="D286" s="296"/>
      <c r="E286" s="296"/>
      <c r="F286" s="296"/>
      <c r="G286" s="297"/>
      <c r="H286" s="303"/>
      <c r="I286" s="298"/>
      <c r="J286" s="298"/>
      <c r="K286" s="299"/>
      <c r="L286" s="304"/>
      <c r="M286" s="300"/>
      <c r="N286" s="301"/>
      <c r="P286" s="193" t="str">
        <f>IF(R286 = "", "", COUNT(R$4:$R286))</f>
        <v/>
      </c>
      <c r="Q286" s="193" t="str">
        <f t="shared" si="41"/>
        <v/>
      </c>
      <c r="R286" s="194" t="str">
        <f t="shared" si="42"/>
        <v/>
      </c>
      <c r="S286" s="195" t="str">
        <f t="shared" si="44"/>
        <v/>
      </c>
      <c r="T286" s="196" t="str">
        <f t="shared" si="45"/>
        <v/>
      </c>
      <c r="U286" s="197" t="str">
        <f t="shared" si="46"/>
        <v/>
      </c>
      <c r="V286" s="198" t="str">
        <f t="shared" si="43"/>
        <v/>
      </c>
      <c r="W286" s="339" t="str">
        <f t="shared" si="47"/>
        <v/>
      </c>
      <c r="X286" s="341" t="str">
        <f t="shared" si="48"/>
        <v/>
      </c>
      <c r="Y286" s="277"/>
      <c r="AR286" t="str">
        <f t="shared" si="49"/>
        <v/>
      </c>
      <c r="AS286" t="str">
        <f t="shared" si="50"/>
        <v/>
      </c>
    </row>
    <row r="287" spans="1:45">
      <c r="A287" s="294"/>
      <c r="B287" s="295"/>
      <c r="C287" s="296"/>
      <c r="D287" s="296"/>
      <c r="E287" s="296"/>
      <c r="F287" s="296"/>
      <c r="G287" s="297"/>
      <c r="H287" s="303"/>
      <c r="I287" s="298"/>
      <c r="J287" s="298"/>
      <c r="K287" s="299"/>
      <c r="L287" s="304"/>
      <c r="M287" s="300"/>
      <c r="N287" s="301"/>
      <c r="P287" s="193" t="str">
        <f>IF(R287 = "", "", COUNT(R$4:$R287))</f>
        <v/>
      </c>
      <c r="Q287" s="193" t="str">
        <f t="shared" si="41"/>
        <v/>
      </c>
      <c r="R287" s="194" t="str">
        <f t="shared" si="42"/>
        <v/>
      </c>
      <c r="S287" s="195" t="str">
        <f t="shared" si="44"/>
        <v/>
      </c>
      <c r="T287" s="196" t="str">
        <f t="shared" si="45"/>
        <v/>
      </c>
      <c r="U287" s="197" t="str">
        <f t="shared" si="46"/>
        <v/>
      </c>
      <c r="V287" s="198" t="str">
        <f t="shared" si="43"/>
        <v/>
      </c>
      <c r="W287" s="339" t="str">
        <f t="shared" si="47"/>
        <v/>
      </c>
      <c r="X287" s="341" t="str">
        <f t="shared" si="48"/>
        <v/>
      </c>
      <c r="Y287" s="277"/>
      <c r="AR287" t="str">
        <f t="shared" si="49"/>
        <v/>
      </c>
      <c r="AS287" t="str">
        <f t="shared" si="50"/>
        <v/>
      </c>
    </row>
    <row r="288" spans="1:45">
      <c r="A288" s="294"/>
      <c r="B288" s="295"/>
      <c r="C288" s="296"/>
      <c r="D288" s="296"/>
      <c r="E288" s="296"/>
      <c r="F288" s="296"/>
      <c r="G288" s="297"/>
      <c r="H288" s="303"/>
      <c r="I288" s="298"/>
      <c r="J288" s="298"/>
      <c r="K288" s="299"/>
      <c r="L288" s="304"/>
      <c r="M288" s="300"/>
      <c r="N288" s="301"/>
      <c r="P288" s="193" t="str">
        <f>IF(R288 = "", "", COUNT(R$4:$R288))</f>
        <v/>
      </c>
      <c r="Q288" s="193" t="str">
        <f t="shared" si="41"/>
        <v/>
      </c>
      <c r="R288" s="194" t="str">
        <f t="shared" si="42"/>
        <v/>
      </c>
      <c r="S288" s="195" t="str">
        <f t="shared" si="44"/>
        <v/>
      </c>
      <c r="T288" s="196" t="str">
        <f t="shared" si="45"/>
        <v/>
      </c>
      <c r="U288" s="197" t="str">
        <f t="shared" si="46"/>
        <v/>
      </c>
      <c r="V288" s="198" t="str">
        <f t="shared" si="43"/>
        <v/>
      </c>
      <c r="W288" s="339" t="str">
        <f t="shared" si="47"/>
        <v/>
      </c>
      <c r="X288" s="341" t="str">
        <f t="shared" si="48"/>
        <v/>
      </c>
      <c r="Y288" s="277"/>
      <c r="AR288" t="str">
        <f t="shared" si="49"/>
        <v/>
      </c>
      <c r="AS288" t="str">
        <f t="shared" si="50"/>
        <v/>
      </c>
    </row>
    <row r="289" spans="1:45">
      <c r="A289" s="294"/>
      <c r="B289" s="295"/>
      <c r="C289" s="296"/>
      <c r="D289" s="296"/>
      <c r="E289" s="296"/>
      <c r="F289" s="296"/>
      <c r="G289" s="297"/>
      <c r="H289" s="303"/>
      <c r="I289" s="298"/>
      <c r="J289" s="298"/>
      <c r="K289" s="299"/>
      <c r="L289" s="304"/>
      <c r="M289" s="300"/>
      <c r="N289" s="301"/>
      <c r="P289" s="193" t="str">
        <f>IF(R289 = "", "", COUNT(R$4:$R289))</f>
        <v/>
      </c>
      <c r="Q289" s="193" t="str">
        <f t="shared" si="41"/>
        <v/>
      </c>
      <c r="R289" s="194" t="str">
        <f t="shared" si="42"/>
        <v/>
      </c>
      <c r="S289" s="195" t="str">
        <f t="shared" si="44"/>
        <v/>
      </c>
      <c r="T289" s="196" t="str">
        <f t="shared" si="45"/>
        <v/>
      </c>
      <c r="U289" s="197" t="str">
        <f t="shared" si="46"/>
        <v/>
      </c>
      <c r="V289" s="198" t="str">
        <f t="shared" si="43"/>
        <v/>
      </c>
      <c r="W289" s="339" t="str">
        <f t="shared" si="47"/>
        <v/>
      </c>
      <c r="X289" s="341" t="str">
        <f t="shared" si="48"/>
        <v/>
      </c>
      <c r="Y289" s="277"/>
      <c r="AR289" t="str">
        <f t="shared" si="49"/>
        <v/>
      </c>
      <c r="AS289" t="str">
        <f t="shared" si="50"/>
        <v/>
      </c>
    </row>
    <row r="290" spans="1:45">
      <c r="A290" s="294"/>
      <c r="B290" s="295"/>
      <c r="C290" s="296"/>
      <c r="D290" s="296"/>
      <c r="E290" s="296"/>
      <c r="F290" s="296"/>
      <c r="G290" s="297"/>
      <c r="H290" s="303"/>
      <c r="I290" s="298"/>
      <c r="J290" s="298"/>
      <c r="K290" s="299"/>
      <c r="L290" s="304"/>
      <c r="M290" s="300"/>
      <c r="N290" s="301"/>
      <c r="P290" s="193" t="str">
        <f>IF(R290 = "", "", COUNT(R$4:$R290))</f>
        <v/>
      </c>
      <c r="Q290" s="193" t="str">
        <f t="shared" si="41"/>
        <v/>
      </c>
      <c r="R290" s="194" t="str">
        <f t="shared" si="42"/>
        <v/>
      </c>
      <c r="S290" s="195" t="str">
        <f t="shared" si="44"/>
        <v/>
      </c>
      <c r="T290" s="196" t="str">
        <f t="shared" si="45"/>
        <v/>
      </c>
      <c r="U290" s="197" t="str">
        <f t="shared" si="46"/>
        <v/>
      </c>
      <c r="V290" s="198" t="str">
        <f t="shared" si="43"/>
        <v/>
      </c>
      <c r="W290" s="339" t="str">
        <f t="shared" si="47"/>
        <v/>
      </c>
      <c r="X290" s="341" t="str">
        <f t="shared" si="48"/>
        <v/>
      </c>
      <c r="Y290" s="277"/>
      <c r="AR290" t="str">
        <f t="shared" si="49"/>
        <v/>
      </c>
      <c r="AS290" t="str">
        <f t="shared" si="50"/>
        <v/>
      </c>
    </row>
    <row r="291" spans="1:45">
      <c r="A291" s="294"/>
      <c r="B291" s="295"/>
      <c r="C291" s="296"/>
      <c r="D291" s="296"/>
      <c r="E291" s="296"/>
      <c r="F291" s="296"/>
      <c r="G291" s="297"/>
      <c r="H291" s="303"/>
      <c r="I291" s="298"/>
      <c r="J291" s="298"/>
      <c r="K291" s="299"/>
      <c r="L291" s="304"/>
      <c r="M291" s="300"/>
      <c r="N291" s="301"/>
      <c r="P291" s="193" t="str">
        <f>IF(R291 = "", "", COUNT(R$4:$R291))</f>
        <v/>
      </c>
      <c r="Q291" s="193" t="str">
        <f t="shared" si="41"/>
        <v/>
      </c>
      <c r="R291" s="194" t="str">
        <f t="shared" si="42"/>
        <v/>
      </c>
      <c r="S291" s="195" t="str">
        <f t="shared" si="44"/>
        <v/>
      </c>
      <c r="T291" s="196" t="str">
        <f t="shared" si="45"/>
        <v/>
      </c>
      <c r="U291" s="197" t="str">
        <f t="shared" si="46"/>
        <v/>
      </c>
      <c r="V291" s="198" t="str">
        <f t="shared" si="43"/>
        <v/>
      </c>
      <c r="W291" s="339" t="str">
        <f t="shared" si="47"/>
        <v/>
      </c>
      <c r="X291" s="341" t="str">
        <f t="shared" si="48"/>
        <v/>
      </c>
      <c r="Y291" s="277"/>
      <c r="AR291" t="str">
        <f t="shared" si="49"/>
        <v/>
      </c>
      <c r="AS291" t="str">
        <f t="shared" si="50"/>
        <v/>
      </c>
    </row>
    <row r="292" spans="1:45">
      <c r="A292" s="294"/>
      <c r="B292" s="295"/>
      <c r="C292" s="296"/>
      <c r="D292" s="296"/>
      <c r="E292" s="296"/>
      <c r="F292" s="296"/>
      <c r="G292" s="297"/>
      <c r="H292" s="303"/>
      <c r="I292" s="298"/>
      <c r="J292" s="298"/>
      <c r="K292" s="299"/>
      <c r="L292" s="304"/>
      <c r="M292" s="300"/>
      <c r="N292" s="301"/>
      <c r="P292" s="193" t="str">
        <f>IF(R292 = "", "", COUNT(R$4:$R292))</f>
        <v/>
      </c>
      <c r="Q292" s="193" t="str">
        <f t="shared" si="41"/>
        <v/>
      </c>
      <c r="R292" s="194" t="str">
        <f t="shared" si="42"/>
        <v/>
      </c>
      <c r="S292" s="195" t="str">
        <f t="shared" si="44"/>
        <v/>
      </c>
      <c r="T292" s="196" t="str">
        <f t="shared" si="45"/>
        <v/>
      </c>
      <c r="U292" s="197" t="str">
        <f t="shared" si="46"/>
        <v/>
      </c>
      <c r="V292" s="198" t="str">
        <f t="shared" si="43"/>
        <v/>
      </c>
      <c r="W292" s="339" t="str">
        <f t="shared" si="47"/>
        <v/>
      </c>
      <c r="X292" s="341" t="str">
        <f t="shared" si="48"/>
        <v/>
      </c>
      <c r="Y292" s="277"/>
      <c r="AR292" t="str">
        <f t="shared" si="49"/>
        <v/>
      </c>
      <c r="AS292" t="str">
        <f t="shared" si="50"/>
        <v/>
      </c>
    </row>
    <row r="293" spans="1:45">
      <c r="A293" s="294"/>
      <c r="B293" s="295"/>
      <c r="C293" s="296"/>
      <c r="D293" s="296"/>
      <c r="E293" s="296"/>
      <c r="F293" s="296"/>
      <c r="G293" s="297"/>
      <c r="H293" s="303"/>
      <c r="I293" s="298"/>
      <c r="J293" s="298"/>
      <c r="K293" s="299"/>
      <c r="L293" s="304"/>
      <c r="M293" s="300"/>
      <c r="N293" s="301"/>
      <c r="P293" s="193" t="str">
        <f>IF(R293 = "", "", COUNT(R$4:$R293))</f>
        <v/>
      </c>
      <c r="Q293" s="193" t="str">
        <f t="shared" si="41"/>
        <v/>
      </c>
      <c r="R293" s="194" t="str">
        <f t="shared" si="42"/>
        <v/>
      </c>
      <c r="S293" s="195" t="str">
        <f t="shared" si="44"/>
        <v/>
      </c>
      <c r="T293" s="196" t="str">
        <f t="shared" si="45"/>
        <v/>
      </c>
      <c r="U293" s="197" t="str">
        <f t="shared" si="46"/>
        <v/>
      </c>
      <c r="V293" s="198" t="str">
        <f t="shared" si="43"/>
        <v/>
      </c>
      <c r="W293" s="339" t="str">
        <f t="shared" si="47"/>
        <v/>
      </c>
      <c r="X293" s="341" t="str">
        <f t="shared" si="48"/>
        <v/>
      </c>
      <c r="Y293" s="277"/>
      <c r="AR293" t="str">
        <f t="shared" si="49"/>
        <v/>
      </c>
      <c r="AS293" t="str">
        <f t="shared" si="50"/>
        <v/>
      </c>
    </row>
    <row r="294" spans="1:45">
      <c r="A294" s="294"/>
      <c r="B294" s="295"/>
      <c r="C294" s="296"/>
      <c r="D294" s="296"/>
      <c r="E294" s="296"/>
      <c r="F294" s="296"/>
      <c r="G294" s="297"/>
      <c r="H294" s="303"/>
      <c r="I294" s="298"/>
      <c r="J294" s="298"/>
      <c r="K294" s="299"/>
      <c r="L294" s="304"/>
      <c r="M294" s="300"/>
      <c r="N294" s="301"/>
      <c r="P294" s="193" t="str">
        <f>IF(R294 = "", "", COUNT(R$4:$R294))</f>
        <v/>
      </c>
      <c r="Q294" s="193" t="str">
        <f t="shared" si="41"/>
        <v/>
      </c>
      <c r="R294" s="194" t="str">
        <f t="shared" si="42"/>
        <v/>
      </c>
      <c r="S294" s="195" t="str">
        <f t="shared" si="44"/>
        <v/>
      </c>
      <c r="T294" s="196" t="str">
        <f t="shared" si="45"/>
        <v/>
      </c>
      <c r="U294" s="197" t="str">
        <f t="shared" si="46"/>
        <v/>
      </c>
      <c r="V294" s="198" t="str">
        <f t="shared" si="43"/>
        <v/>
      </c>
      <c r="W294" s="339" t="str">
        <f t="shared" si="47"/>
        <v/>
      </c>
      <c r="X294" s="341" t="str">
        <f t="shared" si="48"/>
        <v/>
      </c>
      <c r="Y294" s="277"/>
      <c r="AR294" t="str">
        <f t="shared" si="49"/>
        <v/>
      </c>
      <c r="AS294" t="str">
        <f t="shared" si="50"/>
        <v/>
      </c>
    </row>
    <row r="295" spans="1:45">
      <c r="A295" s="294"/>
      <c r="B295" s="295"/>
      <c r="C295" s="296"/>
      <c r="D295" s="296"/>
      <c r="E295" s="296"/>
      <c r="F295" s="296"/>
      <c r="G295" s="297"/>
      <c r="H295" s="303"/>
      <c r="I295" s="298"/>
      <c r="J295" s="298"/>
      <c r="K295" s="299"/>
      <c r="L295" s="304"/>
      <c r="M295" s="300"/>
      <c r="N295" s="301"/>
      <c r="P295" s="193" t="str">
        <f>IF(R295 = "", "", COUNT(R$4:$R295))</f>
        <v/>
      </c>
      <c r="Q295" s="193" t="str">
        <f t="shared" si="41"/>
        <v/>
      </c>
      <c r="R295" s="194" t="str">
        <f t="shared" si="42"/>
        <v/>
      </c>
      <c r="S295" s="195" t="str">
        <f t="shared" si="44"/>
        <v/>
      </c>
      <c r="T295" s="196" t="str">
        <f t="shared" si="45"/>
        <v/>
      </c>
      <c r="U295" s="197" t="str">
        <f t="shared" si="46"/>
        <v/>
      </c>
      <c r="V295" s="198" t="str">
        <f t="shared" si="43"/>
        <v/>
      </c>
      <c r="W295" s="339" t="str">
        <f t="shared" si="47"/>
        <v/>
      </c>
      <c r="X295" s="341" t="str">
        <f t="shared" si="48"/>
        <v/>
      </c>
      <c r="Y295" s="277"/>
      <c r="AR295" t="str">
        <f t="shared" si="49"/>
        <v/>
      </c>
      <c r="AS295" t="str">
        <f t="shared" si="50"/>
        <v/>
      </c>
    </row>
    <row r="296" spans="1:45">
      <c r="A296" s="294"/>
      <c r="B296" s="295"/>
      <c r="C296" s="296"/>
      <c r="D296" s="296"/>
      <c r="E296" s="296"/>
      <c r="F296" s="296"/>
      <c r="G296" s="297"/>
      <c r="H296" s="303"/>
      <c r="I296" s="298"/>
      <c r="J296" s="298"/>
      <c r="K296" s="299"/>
      <c r="L296" s="304"/>
      <c r="M296" s="300"/>
      <c r="N296" s="301"/>
      <c r="P296" s="193" t="str">
        <f>IF(R296 = "", "", COUNT(R$4:$R296))</f>
        <v/>
      </c>
      <c r="Q296" s="193" t="str">
        <f t="shared" si="41"/>
        <v/>
      </c>
      <c r="R296" s="194" t="str">
        <f t="shared" si="42"/>
        <v/>
      </c>
      <c r="S296" s="195" t="str">
        <f t="shared" si="44"/>
        <v/>
      </c>
      <c r="T296" s="196" t="str">
        <f t="shared" si="45"/>
        <v/>
      </c>
      <c r="U296" s="197" t="str">
        <f t="shared" si="46"/>
        <v/>
      </c>
      <c r="V296" s="198" t="str">
        <f t="shared" si="43"/>
        <v/>
      </c>
      <c r="W296" s="339" t="str">
        <f t="shared" si="47"/>
        <v/>
      </c>
      <c r="X296" s="341" t="str">
        <f t="shared" si="48"/>
        <v/>
      </c>
      <c r="Y296" s="277"/>
      <c r="AR296" t="str">
        <f t="shared" si="49"/>
        <v/>
      </c>
      <c r="AS296" t="str">
        <f t="shared" si="50"/>
        <v/>
      </c>
    </row>
    <row r="297" spans="1:45">
      <c r="A297" s="294"/>
      <c r="B297" s="295"/>
      <c r="C297" s="296"/>
      <c r="D297" s="296"/>
      <c r="E297" s="296"/>
      <c r="F297" s="296"/>
      <c r="G297" s="297"/>
      <c r="H297" s="303"/>
      <c r="I297" s="298"/>
      <c r="J297" s="298"/>
      <c r="K297" s="299"/>
      <c r="L297" s="304"/>
      <c r="M297" s="300"/>
      <c r="N297" s="301"/>
      <c r="P297" s="193" t="str">
        <f>IF(R297 = "", "", COUNT(R$4:$R297))</f>
        <v/>
      </c>
      <c r="Q297" s="193" t="str">
        <f t="shared" si="41"/>
        <v/>
      </c>
      <c r="R297" s="194" t="str">
        <f t="shared" si="42"/>
        <v/>
      </c>
      <c r="S297" s="195" t="str">
        <f t="shared" si="44"/>
        <v/>
      </c>
      <c r="T297" s="196" t="str">
        <f t="shared" si="45"/>
        <v/>
      </c>
      <c r="U297" s="197" t="str">
        <f t="shared" si="46"/>
        <v/>
      </c>
      <c r="V297" s="198" t="str">
        <f t="shared" si="43"/>
        <v/>
      </c>
      <c r="W297" s="339" t="str">
        <f t="shared" si="47"/>
        <v/>
      </c>
      <c r="X297" s="341" t="str">
        <f t="shared" si="48"/>
        <v/>
      </c>
      <c r="Y297" s="277"/>
      <c r="AR297" t="str">
        <f t="shared" si="49"/>
        <v/>
      </c>
      <c r="AS297" t="str">
        <f t="shared" si="50"/>
        <v/>
      </c>
    </row>
    <row r="298" spans="1:45">
      <c r="A298" s="294"/>
      <c r="B298" s="295"/>
      <c r="C298" s="296"/>
      <c r="D298" s="296"/>
      <c r="E298" s="296"/>
      <c r="F298" s="296"/>
      <c r="G298" s="297"/>
      <c r="H298" s="303"/>
      <c r="I298" s="298"/>
      <c r="J298" s="298"/>
      <c r="K298" s="299"/>
      <c r="L298" s="304"/>
      <c r="M298" s="300"/>
      <c r="N298" s="301"/>
      <c r="P298" s="193" t="str">
        <f>IF(R298 = "", "", COUNT(R$4:$R298))</f>
        <v/>
      </c>
      <c r="Q298" s="193" t="str">
        <f t="shared" si="41"/>
        <v/>
      </c>
      <c r="R298" s="194" t="str">
        <f t="shared" si="42"/>
        <v/>
      </c>
      <c r="S298" s="195" t="str">
        <f t="shared" si="44"/>
        <v/>
      </c>
      <c r="T298" s="196" t="str">
        <f t="shared" si="45"/>
        <v/>
      </c>
      <c r="U298" s="197" t="str">
        <f t="shared" si="46"/>
        <v/>
      </c>
      <c r="V298" s="198" t="str">
        <f t="shared" si="43"/>
        <v/>
      </c>
      <c r="W298" s="339" t="str">
        <f t="shared" si="47"/>
        <v/>
      </c>
      <c r="X298" s="341" t="str">
        <f t="shared" si="48"/>
        <v/>
      </c>
      <c r="Y298" s="277"/>
      <c r="AR298" t="str">
        <f t="shared" si="49"/>
        <v/>
      </c>
      <c r="AS298" t="str">
        <f t="shared" si="50"/>
        <v/>
      </c>
    </row>
    <row r="299" spans="1:45">
      <c r="A299" s="294"/>
      <c r="B299" s="295"/>
      <c r="C299" s="296"/>
      <c r="D299" s="296"/>
      <c r="E299" s="296"/>
      <c r="F299" s="296"/>
      <c r="G299" s="297"/>
      <c r="H299" s="303"/>
      <c r="I299" s="298"/>
      <c r="J299" s="298"/>
      <c r="K299" s="299"/>
      <c r="L299" s="304"/>
      <c r="M299" s="300"/>
      <c r="N299" s="301"/>
      <c r="P299" s="193" t="str">
        <f>IF(R299 = "", "", COUNT(R$4:$R299))</f>
        <v/>
      </c>
      <c r="Q299" s="193" t="str">
        <f t="shared" si="41"/>
        <v/>
      </c>
      <c r="R299" s="194" t="str">
        <f t="shared" si="42"/>
        <v/>
      </c>
      <c r="S299" s="195" t="str">
        <f t="shared" si="44"/>
        <v/>
      </c>
      <c r="T299" s="196" t="str">
        <f t="shared" si="45"/>
        <v/>
      </c>
      <c r="U299" s="197" t="str">
        <f t="shared" si="46"/>
        <v/>
      </c>
      <c r="V299" s="198" t="str">
        <f t="shared" si="43"/>
        <v/>
      </c>
      <c r="W299" s="339" t="str">
        <f t="shared" si="47"/>
        <v/>
      </c>
      <c r="X299" s="341" t="str">
        <f t="shared" si="48"/>
        <v/>
      </c>
      <c r="Y299" s="277"/>
      <c r="AR299" t="str">
        <f t="shared" si="49"/>
        <v/>
      </c>
      <c r="AS299" t="str">
        <f t="shared" si="50"/>
        <v/>
      </c>
    </row>
    <row r="300" spans="1:45">
      <c r="A300" s="294"/>
      <c r="B300" s="295"/>
      <c r="C300" s="296"/>
      <c r="D300" s="296"/>
      <c r="E300" s="296"/>
      <c r="F300" s="296"/>
      <c r="G300" s="297"/>
      <c r="H300" s="303"/>
      <c r="I300" s="298"/>
      <c r="J300" s="298"/>
      <c r="K300" s="299"/>
      <c r="L300" s="304"/>
      <c r="M300" s="300"/>
      <c r="N300" s="301"/>
      <c r="P300" s="193" t="str">
        <f>IF(R300 = "", "", COUNT(R$4:$R300))</f>
        <v/>
      </c>
      <c r="Q300" s="193" t="str">
        <f t="shared" si="41"/>
        <v/>
      </c>
      <c r="R300" s="194" t="str">
        <f t="shared" si="42"/>
        <v/>
      </c>
      <c r="S300" s="195" t="str">
        <f t="shared" si="44"/>
        <v/>
      </c>
      <c r="T300" s="196" t="str">
        <f t="shared" si="45"/>
        <v/>
      </c>
      <c r="U300" s="197" t="str">
        <f t="shared" si="46"/>
        <v/>
      </c>
      <c r="V300" s="198" t="str">
        <f t="shared" si="43"/>
        <v/>
      </c>
      <c r="W300" s="339" t="str">
        <f t="shared" si="47"/>
        <v/>
      </c>
      <c r="X300" s="341" t="str">
        <f t="shared" si="48"/>
        <v/>
      </c>
      <c r="Y300" s="277"/>
      <c r="AR300" t="str">
        <f t="shared" si="49"/>
        <v/>
      </c>
      <c r="AS300" t="str">
        <f t="shared" si="50"/>
        <v/>
      </c>
    </row>
    <row r="301" spans="1:45">
      <c r="A301" s="294"/>
      <c r="B301" s="295"/>
      <c r="C301" s="296"/>
      <c r="D301" s="296"/>
      <c r="E301" s="296"/>
      <c r="F301" s="296"/>
      <c r="G301" s="297"/>
      <c r="H301" s="303"/>
      <c r="I301" s="298"/>
      <c r="J301" s="298"/>
      <c r="K301" s="299"/>
      <c r="L301" s="304"/>
      <c r="M301" s="300"/>
      <c r="N301" s="301"/>
      <c r="P301" s="193" t="str">
        <f>IF(R301 = "", "", COUNT(R$4:$R301))</f>
        <v/>
      </c>
      <c r="Q301" s="193" t="str">
        <f t="shared" si="41"/>
        <v/>
      </c>
      <c r="R301" s="194" t="str">
        <f t="shared" si="42"/>
        <v/>
      </c>
      <c r="S301" s="195" t="str">
        <f t="shared" si="44"/>
        <v/>
      </c>
      <c r="T301" s="196" t="str">
        <f t="shared" si="45"/>
        <v/>
      </c>
      <c r="U301" s="197" t="str">
        <f t="shared" si="46"/>
        <v/>
      </c>
      <c r="V301" s="198" t="str">
        <f t="shared" si="43"/>
        <v/>
      </c>
      <c r="W301" s="339" t="str">
        <f t="shared" si="47"/>
        <v/>
      </c>
      <c r="X301" s="341" t="str">
        <f t="shared" si="48"/>
        <v/>
      </c>
      <c r="Y301" s="277"/>
      <c r="AR301" t="str">
        <f t="shared" si="49"/>
        <v/>
      </c>
      <c r="AS301" t="str">
        <f t="shared" si="50"/>
        <v/>
      </c>
    </row>
    <row r="302" spans="1:45">
      <c r="A302" s="294"/>
      <c r="B302" s="295"/>
      <c r="C302" s="296"/>
      <c r="D302" s="296"/>
      <c r="E302" s="296"/>
      <c r="F302" s="296"/>
      <c r="G302" s="297"/>
      <c r="H302" s="303"/>
      <c r="I302" s="298"/>
      <c r="J302" s="298"/>
      <c r="K302" s="299"/>
      <c r="L302" s="304"/>
      <c r="M302" s="300"/>
      <c r="N302" s="301"/>
      <c r="P302" s="193" t="str">
        <f>IF(R302 = "", "", COUNT(R$4:$R302))</f>
        <v/>
      </c>
      <c r="Q302" s="193" t="str">
        <f t="shared" si="41"/>
        <v/>
      </c>
      <c r="R302" s="194" t="str">
        <f t="shared" si="42"/>
        <v/>
      </c>
      <c r="S302" s="195" t="str">
        <f t="shared" si="44"/>
        <v/>
      </c>
      <c r="T302" s="196" t="str">
        <f t="shared" si="45"/>
        <v/>
      </c>
      <c r="U302" s="197" t="str">
        <f t="shared" si="46"/>
        <v/>
      </c>
      <c r="V302" s="198" t="str">
        <f t="shared" si="43"/>
        <v/>
      </c>
      <c r="W302" s="339" t="str">
        <f t="shared" si="47"/>
        <v/>
      </c>
      <c r="X302" s="341" t="str">
        <f t="shared" si="48"/>
        <v/>
      </c>
      <c r="Y302" s="277"/>
      <c r="AR302" t="str">
        <f t="shared" si="49"/>
        <v/>
      </c>
      <c r="AS302" t="str">
        <f t="shared" si="50"/>
        <v/>
      </c>
    </row>
    <row r="303" spans="1:45">
      <c r="A303" s="294"/>
      <c r="B303" s="295"/>
      <c r="C303" s="296"/>
      <c r="D303" s="296"/>
      <c r="E303" s="296"/>
      <c r="F303" s="296"/>
      <c r="G303" s="297"/>
      <c r="H303" s="303"/>
      <c r="I303" s="298"/>
      <c r="J303" s="298"/>
      <c r="K303" s="299"/>
      <c r="L303" s="304"/>
      <c r="M303" s="300"/>
      <c r="N303" s="301"/>
      <c r="P303" s="193" t="str">
        <f>IF(R303 = "", "", COUNT(R$4:$R303))</f>
        <v/>
      </c>
      <c r="Q303" s="193" t="str">
        <f t="shared" si="41"/>
        <v/>
      </c>
      <c r="R303" s="194" t="str">
        <f t="shared" si="42"/>
        <v/>
      </c>
      <c r="S303" s="195" t="str">
        <f t="shared" si="44"/>
        <v/>
      </c>
      <c r="T303" s="196" t="str">
        <f t="shared" si="45"/>
        <v/>
      </c>
      <c r="U303" s="197" t="str">
        <f t="shared" si="46"/>
        <v/>
      </c>
      <c r="V303" s="198" t="str">
        <f t="shared" si="43"/>
        <v/>
      </c>
      <c r="W303" s="339" t="str">
        <f t="shared" si="47"/>
        <v/>
      </c>
      <c r="X303" s="341" t="str">
        <f t="shared" si="48"/>
        <v/>
      </c>
      <c r="Y303" s="277"/>
      <c r="AR303" t="str">
        <f t="shared" si="49"/>
        <v/>
      </c>
      <c r="AS303" t="str">
        <f t="shared" si="50"/>
        <v/>
      </c>
    </row>
    <row r="304" spans="1:45">
      <c r="A304" s="294"/>
      <c r="B304" s="295"/>
      <c r="C304" s="296"/>
      <c r="D304" s="296"/>
      <c r="E304" s="296"/>
      <c r="F304" s="296"/>
      <c r="G304" s="297"/>
      <c r="H304" s="303"/>
      <c r="I304" s="298"/>
      <c r="J304" s="298"/>
      <c r="K304" s="299"/>
      <c r="L304" s="304"/>
      <c r="M304" s="300"/>
      <c r="N304" s="301"/>
      <c r="P304" s="193" t="str">
        <f>IF(R304 = "", "", COUNT(R$4:$R304))</f>
        <v/>
      </c>
      <c r="Q304" s="193" t="str">
        <f t="shared" si="41"/>
        <v/>
      </c>
      <c r="R304" s="194" t="str">
        <f t="shared" si="42"/>
        <v/>
      </c>
      <c r="S304" s="195" t="str">
        <f t="shared" si="44"/>
        <v/>
      </c>
      <c r="T304" s="196" t="str">
        <f t="shared" si="45"/>
        <v/>
      </c>
      <c r="U304" s="197" t="str">
        <f t="shared" si="46"/>
        <v/>
      </c>
      <c r="V304" s="198" t="str">
        <f t="shared" si="43"/>
        <v/>
      </c>
      <c r="W304" s="339" t="str">
        <f t="shared" si="47"/>
        <v/>
      </c>
      <c r="X304" s="341" t="str">
        <f t="shared" si="48"/>
        <v/>
      </c>
      <c r="Y304" s="277"/>
      <c r="AR304" t="str">
        <f t="shared" si="49"/>
        <v/>
      </c>
      <c r="AS304" t="str">
        <f t="shared" si="50"/>
        <v/>
      </c>
    </row>
    <row r="305" spans="1:45">
      <c r="A305" s="294"/>
      <c r="B305" s="295"/>
      <c r="C305" s="296"/>
      <c r="D305" s="296"/>
      <c r="E305" s="296"/>
      <c r="F305" s="296"/>
      <c r="G305" s="297"/>
      <c r="H305" s="303"/>
      <c r="I305" s="298"/>
      <c r="J305" s="298"/>
      <c r="K305" s="299"/>
      <c r="L305" s="304"/>
      <c r="M305" s="300"/>
      <c r="N305" s="301"/>
      <c r="P305" s="193" t="str">
        <f>IF(R305 = "", "", COUNT(R$4:$R305))</f>
        <v/>
      </c>
      <c r="Q305" s="193" t="str">
        <f t="shared" si="41"/>
        <v/>
      </c>
      <c r="R305" s="194" t="str">
        <f t="shared" si="42"/>
        <v/>
      </c>
      <c r="S305" s="195" t="str">
        <f t="shared" si="44"/>
        <v/>
      </c>
      <c r="T305" s="196" t="str">
        <f t="shared" si="45"/>
        <v/>
      </c>
      <c r="U305" s="197" t="str">
        <f t="shared" si="46"/>
        <v/>
      </c>
      <c r="V305" s="198" t="str">
        <f t="shared" si="43"/>
        <v/>
      </c>
      <c r="W305" s="339" t="str">
        <f t="shared" si="47"/>
        <v/>
      </c>
      <c r="X305" s="341" t="str">
        <f t="shared" si="48"/>
        <v/>
      </c>
      <c r="Y305" s="277"/>
      <c r="AR305" t="str">
        <f t="shared" si="49"/>
        <v/>
      </c>
      <c r="AS305" t="str">
        <f t="shared" si="50"/>
        <v/>
      </c>
    </row>
    <row r="306" spans="1:45">
      <c r="A306" s="294"/>
      <c r="B306" s="295"/>
      <c r="C306" s="296"/>
      <c r="D306" s="296"/>
      <c r="E306" s="296"/>
      <c r="F306" s="296"/>
      <c r="G306" s="297"/>
      <c r="H306" s="303"/>
      <c r="I306" s="298"/>
      <c r="J306" s="298"/>
      <c r="K306" s="299"/>
      <c r="L306" s="304"/>
      <c r="M306" s="300"/>
      <c r="N306" s="301"/>
      <c r="P306" s="193" t="str">
        <f>IF(R306 = "", "", COUNT(R$4:$R306))</f>
        <v/>
      </c>
      <c r="Q306" s="193" t="str">
        <f t="shared" si="41"/>
        <v/>
      </c>
      <c r="R306" s="194" t="str">
        <f t="shared" si="42"/>
        <v/>
      </c>
      <c r="S306" s="195" t="str">
        <f t="shared" si="44"/>
        <v/>
      </c>
      <c r="T306" s="196" t="str">
        <f t="shared" si="45"/>
        <v/>
      </c>
      <c r="U306" s="197" t="str">
        <f t="shared" si="46"/>
        <v/>
      </c>
      <c r="V306" s="198" t="str">
        <f t="shared" si="43"/>
        <v/>
      </c>
      <c r="W306" s="339" t="str">
        <f t="shared" si="47"/>
        <v/>
      </c>
      <c r="X306" s="341" t="str">
        <f t="shared" si="48"/>
        <v/>
      </c>
      <c r="Y306" s="277"/>
      <c r="AR306" t="str">
        <f t="shared" si="49"/>
        <v/>
      </c>
      <c r="AS306" t="str">
        <f t="shared" si="50"/>
        <v/>
      </c>
    </row>
    <row r="307" spans="1:45">
      <c r="A307" s="294"/>
      <c r="B307" s="295"/>
      <c r="C307" s="296"/>
      <c r="D307" s="296"/>
      <c r="E307" s="296"/>
      <c r="F307" s="296"/>
      <c r="G307" s="297"/>
      <c r="H307" s="303"/>
      <c r="I307" s="298"/>
      <c r="J307" s="298"/>
      <c r="K307" s="299"/>
      <c r="L307" s="304"/>
      <c r="M307" s="300"/>
      <c r="N307" s="301"/>
      <c r="P307" s="193" t="str">
        <f>IF(R307 = "", "", COUNT(R$4:$R307))</f>
        <v/>
      </c>
      <c r="Q307" s="193" t="str">
        <f t="shared" si="41"/>
        <v/>
      </c>
      <c r="R307" s="194" t="str">
        <f t="shared" si="42"/>
        <v/>
      </c>
      <c r="S307" s="195" t="str">
        <f t="shared" si="44"/>
        <v/>
      </c>
      <c r="T307" s="196" t="str">
        <f t="shared" si="45"/>
        <v/>
      </c>
      <c r="U307" s="197" t="str">
        <f t="shared" si="46"/>
        <v/>
      </c>
      <c r="V307" s="198" t="str">
        <f t="shared" si="43"/>
        <v/>
      </c>
      <c r="W307" s="339" t="str">
        <f t="shared" si="47"/>
        <v/>
      </c>
      <c r="X307" s="341" t="str">
        <f t="shared" si="48"/>
        <v/>
      </c>
      <c r="Y307" s="277"/>
      <c r="AR307" t="str">
        <f t="shared" si="49"/>
        <v/>
      </c>
      <c r="AS307" t="str">
        <f t="shared" si="50"/>
        <v/>
      </c>
    </row>
    <row r="308" spans="1:45">
      <c r="A308" s="294"/>
      <c r="B308" s="295"/>
      <c r="C308" s="296"/>
      <c r="D308" s="296"/>
      <c r="E308" s="296"/>
      <c r="F308" s="296"/>
      <c r="G308" s="297"/>
      <c r="H308" s="303"/>
      <c r="I308" s="298"/>
      <c r="J308" s="298"/>
      <c r="K308" s="299"/>
      <c r="L308" s="304"/>
      <c r="M308" s="300"/>
      <c r="N308" s="301"/>
      <c r="P308" s="193" t="str">
        <f>IF(R308 = "", "", COUNT(R$4:$R308))</f>
        <v/>
      </c>
      <c r="Q308" s="193" t="str">
        <f t="shared" si="41"/>
        <v/>
      </c>
      <c r="R308" s="194" t="str">
        <f t="shared" si="42"/>
        <v/>
      </c>
      <c r="S308" s="195" t="str">
        <f t="shared" si="44"/>
        <v/>
      </c>
      <c r="T308" s="196" t="str">
        <f t="shared" si="45"/>
        <v/>
      </c>
      <c r="U308" s="197" t="str">
        <f t="shared" si="46"/>
        <v/>
      </c>
      <c r="V308" s="198" t="str">
        <f t="shared" si="43"/>
        <v/>
      </c>
      <c r="W308" s="339" t="str">
        <f t="shared" si="47"/>
        <v/>
      </c>
      <c r="X308" s="341" t="str">
        <f t="shared" si="48"/>
        <v/>
      </c>
      <c r="Y308" s="277"/>
      <c r="AR308" t="str">
        <f t="shared" si="49"/>
        <v/>
      </c>
      <c r="AS308" t="str">
        <f t="shared" si="50"/>
        <v/>
      </c>
    </row>
    <row r="309" spans="1:45">
      <c r="A309" s="294"/>
      <c r="B309" s="295"/>
      <c r="C309" s="296"/>
      <c r="D309" s="296"/>
      <c r="E309" s="296"/>
      <c r="F309" s="296"/>
      <c r="G309" s="297"/>
      <c r="H309" s="303"/>
      <c r="I309" s="298"/>
      <c r="J309" s="298"/>
      <c r="K309" s="299"/>
      <c r="L309" s="304"/>
      <c r="M309" s="300"/>
      <c r="N309" s="301"/>
      <c r="P309" s="193" t="str">
        <f>IF(R309 = "", "", COUNT(R$4:$R309))</f>
        <v/>
      </c>
      <c r="Q309" s="193" t="str">
        <f t="shared" si="41"/>
        <v/>
      </c>
      <c r="R309" s="194" t="str">
        <f t="shared" si="42"/>
        <v/>
      </c>
      <c r="S309" s="195" t="str">
        <f t="shared" si="44"/>
        <v/>
      </c>
      <c r="T309" s="196" t="str">
        <f t="shared" si="45"/>
        <v/>
      </c>
      <c r="U309" s="197" t="str">
        <f t="shared" si="46"/>
        <v/>
      </c>
      <c r="V309" s="198" t="str">
        <f t="shared" si="43"/>
        <v/>
      </c>
      <c r="W309" s="339" t="str">
        <f t="shared" si="47"/>
        <v/>
      </c>
      <c r="X309" s="341" t="str">
        <f t="shared" si="48"/>
        <v/>
      </c>
      <c r="Y309" s="277"/>
      <c r="AR309" t="str">
        <f t="shared" si="49"/>
        <v/>
      </c>
      <c r="AS309" t="str">
        <f t="shared" si="50"/>
        <v/>
      </c>
    </row>
    <row r="310" spans="1:45">
      <c r="A310" s="294"/>
      <c r="B310" s="295"/>
      <c r="C310" s="296"/>
      <c r="D310" s="296"/>
      <c r="E310" s="296"/>
      <c r="F310" s="296"/>
      <c r="G310" s="297"/>
      <c r="H310" s="303"/>
      <c r="I310" s="298"/>
      <c r="J310" s="298"/>
      <c r="K310" s="299"/>
      <c r="L310" s="304"/>
      <c r="M310" s="300"/>
      <c r="N310" s="301"/>
      <c r="P310" s="193" t="str">
        <f>IF(R310 = "", "", COUNT(R$4:$R310))</f>
        <v/>
      </c>
      <c r="Q310" s="193" t="str">
        <f t="shared" si="41"/>
        <v/>
      </c>
      <c r="R310" s="194" t="str">
        <f t="shared" si="42"/>
        <v/>
      </c>
      <c r="S310" s="195" t="str">
        <f t="shared" si="44"/>
        <v/>
      </c>
      <c r="T310" s="196" t="str">
        <f t="shared" si="45"/>
        <v/>
      </c>
      <c r="U310" s="197" t="str">
        <f t="shared" si="46"/>
        <v/>
      </c>
      <c r="V310" s="198" t="str">
        <f t="shared" si="43"/>
        <v/>
      </c>
      <c r="W310" s="339" t="str">
        <f t="shared" si="47"/>
        <v/>
      </c>
      <c r="X310" s="341" t="str">
        <f t="shared" si="48"/>
        <v/>
      </c>
      <c r="Y310" s="277"/>
      <c r="AR310" t="str">
        <f t="shared" si="49"/>
        <v/>
      </c>
      <c r="AS310" t="str">
        <f t="shared" si="50"/>
        <v/>
      </c>
    </row>
    <row r="311" spans="1:45">
      <c r="A311" s="294"/>
      <c r="B311" s="295"/>
      <c r="C311" s="296"/>
      <c r="D311" s="296"/>
      <c r="E311" s="296"/>
      <c r="F311" s="296"/>
      <c r="G311" s="297"/>
      <c r="H311" s="303"/>
      <c r="I311" s="298"/>
      <c r="J311" s="298"/>
      <c r="K311" s="299"/>
      <c r="L311" s="304"/>
      <c r="M311" s="300"/>
      <c r="N311" s="301"/>
      <c r="P311" s="193" t="str">
        <f>IF(R311 = "", "", COUNT(R$4:$R311))</f>
        <v/>
      </c>
      <c r="Q311" s="193" t="str">
        <f t="shared" si="41"/>
        <v/>
      </c>
      <c r="R311" s="194" t="str">
        <f t="shared" si="42"/>
        <v/>
      </c>
      <c r="S311" s="195" t="str">
        <f t="shared" si="44"/>
        <v/>
      </c>
      <c r="T311" s="196" t="str">
        <f t="shared" si="45"/>
        <v/>
      </c>
      <c r="U311" s="197" t="str">
        <f t="shared" si="46"/>
        <v/>
      </c>
      <c r="V311" s="198" t="str">
        <f t="shared" si="43"/>
        <v/>
      </c>
      <c r="W311" s="339" t="str">
        <f t="shared" si="47"/>
        <v/>
      </c>
      <c r="X311" s="341" t="str">
        <f t="shared" si="48"/>
        <v/>
      </c>
      <c r="Y311" s="277"/>
      <c r="AR311" t="str">
        <f t="shared" si="49"/>
        <v/>
      </c>
      <c r="AS311" t="str">
        <f t="shared" si="50"/>
        <v/>
      </c>
    </row>
    <row r="312" spans="1:45">
      <c r="A312" s="294"/>
      <c r="B312" s="295"/>
      <c r="C312" s="296"/>
      <c r="D312" s="296"/>
      <c r="E312" s="296"/>
      <c r="F312" s="296"/>
      <c r="G312" s="297"/>
      <c r="H312" s="303"/>
      <c r="I312" s="298"/>
      <c r="J312" s="298"/>
      <c r="K312" s="299"/>
      <c r="L312" s="304"/>
      <c r="M312" s="300"/>
      <c r="N312" s="301"/>
      <c r="P312" s="193" t="str">
        <f>IF(R312 = "", "", COUNT(R$4:$R312))</f>
        <v/>
      </c>
      <c r="Q312" s="193" t="str">
        <f t="shared" si="41"/>
        <v/>
      </c>
      <c r="R312" s="194" t="str">
        <f t="shared" si="42"/>
        <v/>
      </c>
      <c r="S312" s="195" t="str">
        <f t="shared" si="44"/>
        <v/>
      </c>
      <c r="T312" s="196" t="str">
        <f t="shared" si="45"/>
        <v/>
      </c>
      <c r="U312" s="197" t="str">
        <f t="shared" si="46"/>
        <v/>
      </c>
      <c r="V312" s="198" t="str">
        <f t="shared" si="43"/>
        <v/>
      </c>
      <c r="W312" s="339" t="str">
        <f t="shared" si="47"/>
        <v/>
      </c>
      <c r="X312" s="341" t="str">
        <f t="shared" si="48"/>
        <v/>
      </c>
      <c r="Y312" s="277"/>
      <c r="AR312" t="str">
        <f t="shared" si="49"/>
        <v/>
      </c>
      <c r="AS312" t="str">
        <f t="shared" si="50"/>
        <v/>
      </c>
    </row>
    <row r="313" spans="1:45">
      <c r="A313" s="294"/>
      <c r="B313" s="295"/>
      <c r="C313" s="296"/>
      <c r="D313" s="296"/>
      <c r="E313" s="296"/>
      <c r="F313" s="296"/>
      <c r="G313" s="297"/>
      <c r="H313" s="303"/>
      <c r="I313" s="298"/>
      <c r="J313" s="298"/>
      <c r="K313" s="299"/>
      <c r="L313" s="304"/>
      <c r="M313" s="300"/>
      <c r="N313" s="301"/>
      <c r="P313" s="193" t="str">
        <f>IF(R313 = "", "", COUNT(R$4:$R313))</f>
        <v/>
      </c>
      <c r="Q313" s="193" t="str">
        <f t="shared" si="41"/>
        <v/>
      </c>
      <c r="R313" s="194" t="str">
        <f t="shared" si="42"/>
        <v/>
      </c>
      <c r="S313" s="195" t="str">
        <f t="shared" si="44"/>
        <v/>
      </c>
      <c r="T313" s="196" t="str">
        <f t="shared" si="45"/>
        <v/>
      </c>
      <c r="U313" s="197" t="str">
        <f t="shared" si="46"/>
        <v/>
      </c>
      <c r="V313" s="198" t="str">
        <f t="shared" si="43"/>
        <v/>
      </c>
      <c r="W313" s="339" t="str">
        <f t="shared" si="47"/>
        <v/>
      </c>
      <c r="X313" s="341" t="str">
        <f t="shared" si="48"/>
        <v/>
      </c>
      <c r="Y313" s="277"/>
      <c r="AR313" t="str">
        <f t="shared" si="49"/>
        <v/>
      </c>
      <c r="AS313" t="str">
        <f t="shared" si="50"/>
        <v/>
      </c>
    </row>
    <row r="314" spans="1:45">
      <c r="A314" s="294"/>
      <c r="B314" s="295"/>
      <c r="C314" s="296"/>
      <c r="D314" s="296"/>
      <c r="E314" s="296"/>
      <c r="F314" s="296"/>
      <c r="G314" s="297"/>
      <c r="H314" s="303"/>
      <c r="I314" s="298"/>
      <c r="J314" s="298"/>
      <c r="K314" s="299"/>
      <c r="L314" s="304"/>
      <c r="M314" s="300"/>
      <c r="N314" s="301"/>
      <c r="P314" s="193" t="str">
        <f>IF(R314 = "", "", COUNT(R$4:$R314))</f>
        <v/>
      </c>
      <c r="Q314" s="193" t="str">
        <f t="shared" si="41"/>
        <v/>
      </c>
      <c r="R314" s="194" t="str">
        <f t="shared" si="42"/>
        <v/>
      </c>
      <c r="S314" s="195" t="str">
        <f t="shared" si="44"/>
        <v/>
      </c>
      <c r="T314" s="196" t="str">
        <f t="shared" si="45"/>
        <v/>
      </c>
      <c r="U314" s="197" t="str">
        <f t="shared" si="46"/>
        <v/>
      </c>
      <c r="V314" s="198" t="str">
        <f t="shared" si="43"/>
        <v/>
      </c>
      <c r="W314" s="339" t="str">
        <f t="shared" si="47"/>
        <v/>
      </c>
      <c r="X314" s="341" t="str">
        <f t="shared" si="48"/>
        <v/>
      </c>
      <c r="Y314" s="277"/>
      <c r="AR314" t="str">
        <f t="shared" si="49"/>
        <v/>
      </c>
      <c r="AS314" t="str">
        <f t="shared" si="50"/>
        <v/>
      </c>
    </row>
    <row r="315" spans="1:45">
      <c r="A315" s="294"/>
      <c r="B315" s="295"/>
      <c r="C315" s="296"/>
      <c r="D315" s="296"/>
      <c r="E315" s="296"/>
      <c r="F315" s="296"/>
      <c r="G315" s="297"/>
      <c r="H315" s="303"/>
      <c r="I315" s="298"/>
      <c r="J315" s="298"/>
      <c r="K315" s="299"/>
      <c r="L315" s="304"/>
      <c r="M315" s="300"/>
      <c r="N315" s="301"/>
      <c r="P315" s="193" t="str">
        <f>IF(R315 = "", "", COUNT(R$4:$R315))</f>
        <v/>
      </c>
      <c r="Q315" s="193" t="str">
        <f t="shared" si="41"/>
        <v/>
      </c>
      <c r="R315" s="194" t="str">
        <f t="shared" si="42"/>
        <v/>
      </c>
      <c r="S315" s="195" t="str">
        <f t="shared" si="44"/>
        <v/>
      </c>
      <c r="T315" s="196" t="str">
        <f t="shared" si="45"/>
        <v/>
      </c>
      <c r="U315" s="197" t="str">
        <f t="shared" si="46"/>
        <v/>
      </c>
      <c r="V315" s="198" t="str">
        <f t="shared" si="43"/>
        <v/>
      </c>
      <c r="W315" s="339" t="str">
        <f t="shared" si="47"/>
        <v/>
      </c>
      <c r="X315" s="341" t="str">
        <f t="shared" si="48"/>
        <v/>
      </c>
      <c r="Y315" s="277"/>
      <c r="AR315" t="str">
        <f t="shared" si="49"/>
        <v/>
      </c>
      <c r="AS315" t="str">
        <f t="shared" si="50"/>
        <v/>
      </c>
    </row>
    <row r="316" spans="1:45">
      <c r="A316" s="294"/>
      <c r="B316" s="295"/>
      <c r="C316" s="296"/>
      <c r="D316" s="296"/>
      <c r="E316" s="296"/>
      <c r="F316" s="296"/>
      <c r="G316" s="297"/>
      <c r="H316" s="303"/>
      <c r="I316" s="298"/>
      <c r="J316" s="298"/>
      <c r="K316" s="299"/>
      <c r="L316" s="304"/>
      <c r="M316" s="300"/>
      <c r="N316" s="301"/>
      <c r="P316" s="193" t="str">
        <f>IF(R316 = "", "", COUNT(R$4:$R316))</f>
        <v/>
      </c>
      <c r="Q316" s="193" t="str">
        <f t="shared" si="41"/>
        <v/>
      </c>
      <c r="R316" s="194" t="str">
        <f t="shared" si="42"/>
        <v/>
      </c>
      <c r="S316" s="195" t="str">
        <f t="shared" si="44"/>
        <v/>
      </c>
      <c r="T316" s="196" t="str">
        <f t="shared" si="45"/>
        <v/>
      </c>
      <c r="U316" s="197" t="str">
        <f t="shared" si="46"/>
        <v/>
      </c>
      <c r="V316" s="198" t="str">
        <f t="shared" si="43"/>
        <v/>
      </c>
      <c r="W316" s="339" t="str">
        <f t="shared" si="47"/>
        <v/>
      </c>
      <c r="X316" s="341" t="str">
        <f t="shared" si="48"/>
        <v/>
      </c>
      <c r="Y316" s="277"/>
      <c r="AR316" t="str">
        <f t="shared" si="49"/>
        <v/>
      </c>
      <c r="AS316" t="str">
        <f t="shared" si="50"/>
        <v/>
      </c>
    </row>
    <row r="317" spans="1:45">
      <c r="A317" s="294"/>
      <c r="B317" s="295"/>
      <c r="C317" s="296"/>
      <c r="D317" s="296"/>
      <c r="E317" s="296"/>
      <c r="F317" s="296"/>
      <c r="G317" s="297"/>
      <c r="H317" s="303"/>
      <c r="I317" s="298"/>
      <c r="J317" s="298"/>
      <c r="K317" s="299"/>
      <c r="L317" s="304"/>
      <c r="M317" s="300"/>
      <c r="N317" s="301"/>
      <c r="P317" s="193" t="str">
        <f>IF(R317 = "", "", COUNT(R$4:$R317))</f>
        <v/>
      </c>
      <c r="Q317" s="193" t="str">
        <f t="shared" si="41"/>
        <v/>
      </c>
      <c r="R317" s="194" t="str">
        <f t="shared" si="42"/>
        <v/>
      </c>
      <c r="S317" s="195" t="str">
        <f t="shared" si="44"/>
        <v/>
      </c>
      <c r="T317" s="196" t="str">
        <f t="shared" si="45"/>
        <v/>
      </c>
      <c r="U317" s="197" t="str">
        <f t="shared" si="46"/>
        <v/>
      </c>
      <c r="V317" s="198" t="str">
        <f t="shared" si="43"/>
        <v/>
      </c>
      <c r="W317" s="339" t="str">
        <f t="shared" si="47"/>
        <v/>
      </c>
      <c r="X317" s="341" t="str">
        <f t="shared" si="48"/>
        <v/>
      </c>
      <c r="Y317" s="277"/>
      <c r="AR317" t="str">
        <f t="shared" si="49"/>
        <v/>
      </c>
      <c r="AS317" t="str">
        <f t="shared" si="50"/>
        <v/>
      </c>
    </row>
    <row r="318" spans="1:45">
      <c r="A318" s="294"/>
      <c r="B318" s="295"/>
      <c r="C318" s="296"/>
      <c r="D318" s="296"/>
      <c r="E318" s="296"/>
      <c r="F318" s="296"/>
      <c r="G318" s="297"/>
      <c r="H318" s="303"/>
      <c r="I318" s="298"/>
      <c r="J318" s="298"/>
      <c r="K318" s="299"/>
      <c r="L318" s="304"/>
      <c r="M318" s="300"/>
      <c r="N318" s="301"/>
      <c r="P318" s="193" t="str">
        <f>IF(R318 = "", "", COUNT(R$4:$R318))</f>
        <v/>
      </c>
      <c r="Q318" s="193" t="str">
        <f t="shared" si="41"/>
        <v/>
      </c>
      <c r="R318" s="194" t="str">
        <f t="shared" si="42"/>
        <v/>
      </c>
      <c r="S318" s="195" t="str">
        <f t="shared" si="44"/>
        <v/>
      </c>
      <c r="T318" s="196" t="str">
        <f t="shared" si="45"/>
        <v/>
      </c>
      <c r="U318" s="197" t="str">
        <f t="shared" si="46"/>
        <v/>
      </c>
      <c r="V318" s="198" t="str">
        <f t="shared" si="43"/>
        <v/>
      </c>
      <c r="W318" s="339" t="str">
        <f t="shared" si="47"/>
        <v/>
      </c>
      <c r="X318" s="341" t="str">
        <f t="shared" si="48"/>
        <v/>
      </c>
      <c r="Y318" s="277"/>
      <c r="AR318" t="str">
        <f t="shared" si="49"/>
        <v/>
      </c>
      <c r="AS318" t="str">
        <f t="shared" si="50"/>
        <v/>
      </c>
    </row>
    <row r="319" spans="1:45">
      <c r="A319" s="294"/>
      <c r="B319" s="295"/>
      <c r="C319" s="296"/>
      <c r="D319" s="296"/>
      <c r="E319" s="296"/>
      <c r="F319" s="296"/>
      <c r="G319" s="297"/>
      <c r="H319" s="303"/>
      <c r="I319" s="298"/>
      <c r="J319" s="298"/>
      <c r="K319" s="299"/>
      <c r="L319" s="304"/>
      <c r="M319" s="300"/>
      <c r="N319" s="301"/>
      <c r="P319" s="193" t="str">
        <f>IF(R319 = "", "", COUNT(R$4:$R319))</f>
        <v/>
      </c>
      <c r="Q319" s="193" t="str">
        <f t="shared" si="41"/>
        <v/>
      </c>
      <c r="R319" s="194" t="str">
        <f t="shared" si="42"/>
        <v/>
      </c>
      <c r="S319" s="195" t="str">
        <f t="shared" si="44"/>
        <v/>
      </c>
      <c r="T319" s="196" t="str">
        <f t="shared" si="45"/>
        <v/>
      </c>
      <c r="U319" s="197" t="str">
        <f t="shared" si="46"/>
        <v/>
      </c>
      <c r="V319" s="198" t="str">
        <f t="shared" si="43"/>
        <v/>
      </c>
      <c r="W319" s="339" t="str">
        <f t="shared" si="47"/>
        <v/>
      </c>
      <c r="X319" s="341" t="str">
        <f t="shared" si="48"/>
        <v/>
      </c>
      <c r="Y319" s="277"/>
      <c r="AR319" t="str">
        <f t="shared" si="49"/>
        <v/>
      </c>
      <c r="AS319" t="str">
        <f t="shared" si="50"/>
        <v/>
      </c>
    </row>
    <row r="320" spans="1:45">
      <c r="A320" s="294"/>
      <c r="B320" s="295"/>
      <c r="C320" s="296"/>
      <c r="D320" s="296"/>
      <c r="E320" s="296"/>
      <c r="F320" s="296"/>
      <c r="G320" s="297"/>
      <c r="H320" s="303"/>
      <c r="I320" s="298"/>
      <c r="J320" s="298"/>
      <c r="K320" s="299"/>
      <c r="L320" s="304"/>
      <c r="M320" s="300"/>
      <c r="N320" s="301"/>
      <c r="P320" s="193" t="str">
        <f>IF(R320 = "", "", COUNT(R$4:$R320))</f>
        <v/>
      </c>
      <c r="Q320" s="193" t="str">
        <f t="shared" si="41"/>
        <v/>
      </c>
      <c r="R320" s="194" t="str">
        <f t="shared" si="42"/>
        <v/>
      </c>
      <c r="S320" s="195" t="str">
        <f t="shared" si="44"/>
        <v/>
      </c>
      <c r="T320" s="196" t="str">
        <f t="shared" si="45"/>
        <v/>
      </c>
      <c r="U320" s="197" t="str">
        <f t="shared" si="46"/>
        <v/>
      </c>
      <c r="V320" s="198" t="str">
        <f t="shared" si="43"/>
        <v/>
      </c>
      <c r="W320" s="339" t="str">
        <f t="shared" si="47"/>
        <v/>
      </c>
      <c r="X320" s="341" t="str">
        <f t="shared" si="48"/>
        <v/>
      </c>
      <c r="Y320" s="277"/>
      <c r="AR320" t="str">
        <f t="shared" si="49"/>
        <v/>
      </c>
      <c r="AS320" t="str">
        <f t="shared" si="50"/>
        <v/>
      </c>
    </row>
    <row r="321" spans="1:45">
      <c r="A321" s="294"/>
      <c r="B321" s="295"/>
      <c r="C321" s="296"/>
      <c r="D321" s="296"/>
      <c r="E321" s="296"/>
      <c r="F321" s="296"/>
      <c r="G321" s="297"/>
      <c r="H321" s="303"/>
      <c r="I321" s="298"/>
      <c r="J321" s="298"/>
      <c r="K321" s="299"/>
      <c r="L321" s="304"/>
      <c r="M321" s="300"/>
      <c r="N321" s="301"/>
      <c r="P321" s="193" t="str">
        <f>IF(R321 = "", "", COUNT(R$4:$R321))</f>
        <v/>
      </c>
      <c r="Q321" s="193" t="str">
        <f t="shared" si="41"/>
        <v/>
      </c>
      <c r="R321" s="194" t="str">
        <f t="shared" si="42"/>
        <v/>
      </c>
      <c r="S321" s="195" t="str">
        <f t="shared" si="44"/>
        <v/>
      </c>
      <c r="T321" s="196" t="str">
        <f t="shared" si="45"/>
        <v/>
      </c>
      <c r="U321" s="197" t="str">
        <f t="shared" si="46"/>
        <v/>
      </c>
      <c r="V321" s="198" t="str">
        <f t="shared" si="43"/>
        <v/>
      </c>
      <c r="W321" s="339" t="str">
        <f t="shared" si="47"/>
        <v/>
      </c>
      <c r="X321" s="341" t="str">
        <f t="shared" si="48"/>
        <v/>
      </c>
      <c r="Y321" s="277"/>
      <c r="AR321" t="str">
        <f t="shared" si="49"/>
        <v/>
      </c>
      <c r="AS321" t="str">
        <f t="shared" si="50"/>
        <v/>
      </c>
    </row>
    <row r="322" spans="1:45">
      <c r="A322" s="294"/>
      <c r="B322" s="295"/>
      <c r="C322" s="296"/>
      <c r="D322" s="296"/>
      <c r="E322" s="296"/>
      <c r="F322" s="296"/>
      <c r="G322" s="297"/>
      <c r="H322" s="303"/>
      <c r="I322" s="298"/>
      <c r="J322" s="298"/>
      <c r="K322" s="299"/>
      <c r="L322" s="304"/>
      <c r="M322" s="300"/>
      <c r="N322" s="301"/>
      <c r="P322" s="193" t="str">
        <f>IF(R322 = "", "", COUNT(R$4:$R322))</f>
        <v/>
      </c>
      <c r="Q322" s="193" t="str">
        <f t="shared" si="41"/>
        <v/>
      </c>
      <c r="R322" s="194" t="str">
        <f t="shared" si="42"/>
        <v/>
      </c>
      <c r="S322" s="195" t="str">
        <f t="shared" si="44"/>
        <v/>
      </c>
      <c r="T322" s="196" t="str">
        <f t="shared" si="45"/>
        <v/>
      </c>
      <c r="U322" s="197" t="str">
        <f t="shared" si="46"/>
        <v/>
      </c>
      <c r="V322" s="198" t="str">
        <f t="shared" si="43"/>
        <v/>
      </c>
      <c r="W322" s="339" t="str">
        <f t="shared" si="47"/>
        <v/>
      </c>
      <c r="X322" s="341" t="str">
        <f t="shared" si="48"/>
        <v/>
      </c>
      <c r="Y322" s="277"/>
      <c r="AR322" t="str">
        <f t="shared" si="49"/>
        <v/>
      </c>
      <c r="AS322" t="str">
        <f t="shared" si="50"/>
        <v/>
      </c>
    </row>
    <row r="323" spans="1:45">
      <c r="A323" s="294"/>
      <c r="B323" s="295"/>
      <c r="C323" s="296"/>
      <c r="D323" s="296"/>
      <c r="E323" s="296"/>
      <c r="F323" s="296"/>
      <c r="G323" s="297"/>
      <c r="H323" s="303"/>
      <c r="I323" s="298"/>
      <c r="J323" s="298"/>
      <c r="K323" s="299"/>
      <c r="L323" s="304"/>
      <c r="M323" s="300"/>
      <c r="N323" s="301"/>
      <c r="P323" s="193" t="str">
        <f>IF(R323 = "", "", COUNT(R$4:$R323))</f>
        <v/>
      </c>
      <c r="Q323" s="193" t="str">
        <f t="shared" si="41"/>
        <v/>
      </c>
      <c r="R323" s="194" t="str">
        <f t="shared" si="42"/>
        <v/>
      </c>
      <c r="S323" s="195" t="str">
        <f t="shared" si="44"/>
        <v/>
      </c>
      <c r="T323" s="196" t="str">
        <f t="shared" si="45"/>
        <v/>
      </c>
      <c r="U323" s="197" t="str">
        <f t="shared" si="46"/>
        <v/>
      </c>
      <c r="V323" s="198" t="str">
        <f t="shared" si="43"/>
        <v/>
      </c>
      <c r="W323" s="339" t="str">
        <f t="shared" si="47"/>
        <v/>
      </c>
      <c r="X323" s="341" t="str">
        <f t="shared" si="48"/>
        <v/>
      </c>
      <c r="Y323" s="277"/>
      <c r="AR323" t="str">
        <f t="shared" si="49"/>
        <v/>
      </c>
      <c r="AS323" t="str">
        <f t="shared" si="50"/>
        <v/>
      </c>
    </row>
    <row r="324" spans="1:45">
      <c r="A324" s="294"/>
      <c r="B324" s="295"/>
      <c r="C324" s="296"/>
      <c r="D324" s="296"/>
      <c r="E324" s="296"/>
      <c r="F324" s="296"/>
      <c r="G324" s="297"/>
      <c r="H324" s="303"/>
      <c r="I324" s="298"/>
      <c r="J324" s="298"/>
      <c r="K324" s="299"/>
      <c r="L324" s="304"/>
      <c r="M324" s="300"/>
      <c r="N324" s="301"/>
      <c r="P324" s="193" t="str">
        <f>IF(R324 = "", "", COUNT(R$4:$R324))</f>
        <v/>
      </c>
      <c r="Q324" s="193" t="str">
        <f t="shared" ref="Q324:Q387" si="51">IF(C324 &gt; 0, YEAR(B324), "")</f>
        <v/>
      </c>
      <c r="R324" s="194" t="str">
        <f t="shared" ref="R324:R387" si="52">IF(A324="", "", IF(G324="",1,IF(G324="O",1,IF(G324="C",8.4,IF(G324="B",8.4,IF(G324="A",76.8,IF(G324="K",76.8,"ERR")))))))</f>
        <v/>
      </c>
      <c r="S324" s="195" t="str">
        <f t="shared" si="44"/>
        <v/>
      </c>
      <c r="T324" s="196" t="str">
        <f t="shared" si="45"/>
        <v/>
      </c>
      <c r="U324" s="197" t="str">
        <f t="shared" si="46"/>
        <v/>
      </c>
      <c r="V324" s="198" t="str">
        <f t="shared" ref="V324:V387" si="53">IF(IF(M324&lt;&gt;"",G324,"")=0, "O", IF(M324&lt;&gt;"",G324,""))</f>
        <v/>
      </c>
      <c r="W324" s="339" t="str">
        <f t="shared" si="47"/>
        <v/>
      </c>
      <c r="X324" s="341" t="str">
        <f t="shared" si="48"/>
        <v/>
      </c>
      <c r="Y324" s="277"/>
      <c r="AR324" t="str">
        <f t="shared" si="49"/>
        <v/>
      </c>
      <c r="AS324" t="str">
        <f t="shared" si="50"/>
        <v/>
      </c>
    </row>
    <row r="325" spans="1:45">
      <c r="A325" s="294"/>
      <c r="B325" s="295"/>
      <c r="C325" s="296"/>
      <c r="D325" s="296"/>
      <c r="E325" s="296"/>
      <c r="F325" s="296"/>
      <c r="G325" s="297"/>
      <c r="H325" s="303"/>
      <c r="I325" s="298"/>
      <c r="J325" s="298"/>
      <c r="K325" s="299"/>
      <c r="L325" s="304"/>
      <c r="M325" s="300"/>
      <c r="N325" s="301"/>
      <c r="P325" s="193" t="str">
        <f>IF(R325 = "", "", COUNT(R$4:$R325))</f>
        <v/>
      </c>
      <c r="Q325" s="193" t="str">
        <f t="shared" si="51"/>
        <v/>
      </c>
      <c r="R325" s="194" t="str">
        <f t="shared" si="52"/>
        <v/>
      </c>
      <c r="S325" s="195" t="str">
        <f t="shared" ref="S325:S388" si="54">IF(L325&lt;&gt;"",R325,"")</f>
        <v/>
      </c>
      <c r="T325" s="196" t="str">
        <f t="shared" ref="T325:T388" si="55">IF(IF(L325&lt;&gt;"",G325,"")=0, "O", IF(L325&lt;&gt;"",G325,""))</f>
        <v/>
      </c>
      <c r="U325" s="197" t="str">
        <f t="shared" ref="U325:U388" si="56">IF(M325&lt;&gt;"",R325,"")</f>
        <v/>
      </c>
      <c r="V325" s="198" t="str">
        <f t="shared" si="53"/>
        <v/>
      </c>
      <c r="W325" s="339" t="str">
        <f t="shared" ref="W325:W388" si="57">IF(N325&lt;&gt;"",R325,"")</f>
        <v/>
      </c>
      <c r="X325" s="341" t="str">
        <f t="shared" ref="X325:X388" si="58">IF(IF(N325&lt;&gt;"",G325,"")=0, "O", IF(N325&lt;&gt;"",G325,""))</f>
        <v/>
      </c>
      <c r="Y325" s="277"/>
      <c r="AR325" t="str">
        <f t="shared" ref="AR325:AR388" si="59">IF(P325&gt;0, P325, "")</f>
        <v/>
      </c>
      <c r="AS325" t="str">
        <f t="shared" ref="AS325:AS388" si="60">IF(OR(L325="Y",M325="Y",N325="Y"),"Y","")</f>
        <v/>
      </c>
    </row>
    <row r="326" spans="1:45">
      <c r="A326" s="294"/>
      <c r="B326" s="295"/>
      <c r="C326" s="296"/>
      <c r="D326" s="296"/>
      <c r="E326" s="296"/>
      <c r="F326" s="296"/>
      <c r="G326" s="297"/>
      <c r="H326" s="303"/>
      <c r="I326" s="298"/>
      <c r="J326" s="298"/>
      <c r="K326" s="299"/>
      <c r="L326" s="304"/>
      <c r="M326" s="300"/>
      <c r="N326" s="301"/>
      <c r="P326" s="193" t="str">
        <f>IF(R326 = "", "", COUNT(R$4:$R326))</f>
        <v/>
      </c>
      <c r="Q326" s="193" t="str">
        <f t="shared" si="51"/>
        <v/>
      </c>
      <c r="R326" s="194" t="str">
        <f t="shared" si="52"/>
        <v/>
      </c>
      <c r="S326" s="195" t="str">
        <f t="shared" si="54"/>
        <v/>
      </c>
      <c r="T326" s="196" t="str">
        <f t="shared" si="55"/>
        <v/>
      </c>
      <c r="U326" s="197" t="str">
        <f t="shared" si="56"/>
        <v/>
      </c>
      <c r="V326" s="198" t="str">
        <f t="shared" si="53"/>
        <v/>
      </c>
      <c r="W326" s="339" t="str">
        <f t="shared" si="57"/>
        <v/>
      </c>
      <c r="X326" s="341" t="str">
        <f t="shared" si="58"/>
        <v/>
      </c>
      <c r="Y326" s="277"/>
      <c r="AR326" t="str">
        <f t="shared" si="59"/>
        <v/>
      </c>
      <c r="AS326" t="str">
        <f t="shared" si="60"/>
        <v/>
      </c>
    </row>
    <row r="327" spans="1:45">
      <c r="A327" s="294"/>
      <c r="B327" s="295"/>
      <c r="C327" s="296"/>
      <c r="D327" s="296"/>
      <c r="E327" s="296"/>
      <c r="F327" s="296"/>
      <c r="G327" s="297"/>
      <c r="H327" s="303"/>
      <c r="I327" s="298"/>
      <c r="J327" s="298"/>
      <c r="K327" s="299"/>
      <c r="L327" s="304"/>
      <c r="M327" s="300"/>
      <c r="N327" s="301"/>
      <c r="P327" s="193" t="str">
        <f>IF(R327 = "", "", COUNT(R$4:$R327))</f>
        <v/>
      </c>
      <c r="Q327" s="193" t="str">
        <f t="shared" si="51"/>
        <v/>
      </c>
      <c r="R327" s="194" t="str">
        <f t="shared" si="52"/>
        <v/>
      </c>
      <c r="S327" s="195" t="str">
        <f t="shared" si="54"/>
        <v/>
      </c>
      <c r="T327" s="196" t="str">
        <f t="shared" si="55"/>
        <v/>
      </c>
      <c r="U327" s="197" t="str">
        <f t="shared" si="56"/>
        <v/>
      </c>
      <c r="V327" s="198" t="str">
        <f t="shared" si="53"/>
        <v/>
      </c>
      <c r="W327" s="339" t="str">
        <f t="shared" si="57"/>
        <v/>
      </c>
      <c r="X327" s="341" t="str">
        <f t="shared" si="58"/>
        <v/>
      </c>
      <c r="Y327" s="277"/>
      <c r="AR327" t="str">
        <f t="shared" si="59"/>
        <v/>
      </c>
      <c r="AS327" t="str">
        <f t="shared" si="60"/>
        <v/>
      </c>
    </row>
    <row r="328" spans="1:45">
      <c r="A328" s="294"/>
      <c r="B328" s="295"/>
      <c r="C328" s="296"/>
      <c r="D328" s="296"/>
      <c r="E328" s="296"/>
      <c r="F328" s="296"/>
      <c r="G328" s="297"/>
      <c r="H328" s="303"/>
      <c r="I328" s="298"/>
      <c r="J328" s="298"/>
      <c r="K328" s="299"/>
      <c r="L328" s="304"/>
      <c r="M328" s="300"/>
      <c r="N328" s="301"/>
      <c r="P328" s="193" t="str">
        <f>IF(R328 = "", "", COUNT(R$4:$R328))</f>
        <v/>
      </c>
      <c r="Q328" s="193" t="str">
        <f t="shared" si="51"/>
        <v/>
      </c>
      <c r="R328" s="194" t="str">
        <f t="shared" si="52"/>
        <v/>
      </c>
      <c r="S328" s="195" t="str">
        <f t="shared" si="54"/>
        <v/>
      </c>
      <c r="T328" s="196" t="str">
        <f t="shared" si="55"/>
        <v/>
      </c>
      <c r="U328" s="197" t="str">
        <f t="shared" si="56"/>
        <v/>
      </c>
      <c r="V328" s="198" t="str">
        <f t="shared" si="53"/>
        <v/>
      </c>
      <c r="W328" s="339" t="str">
        <f t="shared" si="57"/>
        <v/>
      </c>
      <c r="X328" s="341" t="str">
        <f t="shared" si="58"/>
        <v/>
      </c>
      <c r="Y328" s="277"/>
      <c r="AR328" t="str">
        <f t="shared" si="59"/>
        <v/>
      </c>
      <c r="AS328" t="str">
        <f t="shared" si="60"/>
        <v/>
      </c>
    </row>
    <row r="329" spans="1:45">
      <c r="A329" s="294"/>
      <c r="B329" s="295"/>
      <c r="C329" s="296"/>
      <c r="D329" s="296"/>
      <c r="E329" s="296"/>
      <c r="F329" s="296"/>
      <c r="G329" s="297"/>
      <c r="H329" s="303"/>
      <c r="I329" s="298"/>
      <c r="J329" s="298"/>
      <c r="K329" s="299"/>
      <c r="L329" s="304"/>
      <c r="M329" s="300"/>
      <c r="N329" s="301"/>
      <c r="P329" s="193" t="str">
        <f>IF(R329 = "", "", COUNT(R$4:$R329))</f>
        <v/>
      </c>
      <c r="Q329" s="193" t="str">
        <f t="shared" si="51"/>
        <v/>
      </c>
      <c r="R329" s="194" t="str">
        <f t="shared" si="52"/>
        <v/>
      </c>
      <c r="S329" s="195" t="str">
        <f t="shared" si="54"/>
        <v/>
      </c>
      <c r="T329" s="196" t="str">
        <f t="shared" si="55"/>
        <v/>
      </c>
      <c r="U329" s="197" t="str">
        <f t="shared" si="56"/>
        <v/>
      </c>
      <c r="V329" s="198" t="str">
        <f t="shared" si="53"/>
        <v/>
      </c>
      <c r="W329" s="339" t="str">
        <f t="shared" si="57"/>
        <v/>
      </c>
      <c r="X329" s="341" t="str">
        <f t="shared" si="58"/>
        <v/>
      </c>
      <c r="Y329" s="277"/>
      <c r="AR329" t="str">
        <f t="shared" si="59"/>
        <v/>
      </c>
      <c r="AS329" t="str">
        <f t="shared" si="60"/>
        <v/>
      </c>
    </row>
    <row r="330" spans="1:45">
      <c r="A330" s="294"/>
      <c r="B330" s="295"/>
      <c r="C330" s="296"/>
      <c r="D330" s="296"/>
      <c r="E330" s="296"/>
      <c r="F330" s="296"/>
      <c r="G330" s="297"/>
      <c r="H330" s="303"/>
      <c r="I330" s="298"/>
      <c r="J330" s="298"/>
      <c r="K330" s="299"/>
      <c r="L330" s="304"/>
      <c r="M330" s="300"/>
      <c r="N330" s="301"/>
      <c r="P330" s="193" t="str">
        <f>IF(R330 = "", "", COUNT(R$4:$R330))</f>
        <v/>
      </c>
      <c r="Q330" s="193" t="str">
        <f t="shared" si="51"/>
        <v/>
      </c>
      <c r="R330" s="194" t="str">
        <f t="shared" si="52"/>
        <v/>
      </c>
      <c r="S330" s="195" t="str">
        <f t="shared" si="54"/>
        <v/>
      </c>
      <c r="T330" s="196" t="str">
        <f t="shared" si="55"/>
        <v/>
      </c>
      <c r="U330" s="197" t="str">
        <f t="shared" si="56"/>
        <v/>
      </c>
      <c r="V330" s="198" t="str">
        <f t="shared" si="53"/>
        <v/>
      </c>
      <c r="W330" s="339" t="str">
        <f t="shared" si="57"/>
        <v/>
      </c>
      <c r="X330" s="341" t="str">
        <f t="shared" si="58"/>
        <v/>
      </c>
      <c r="Y330" s="277"/>
      <c r="AR330" t="str">
        <f t="shared" si="59"/>
        <v/>
      </c>
      <c r="AS330" t="str">
        <f t="shared" si="60"/>
        <v/>
      </c>
    </row>
    <row r="331" spans="1:45">
      <c r="A331" s="294"/>
      <c r="B331" s="295"/>
      <c r="C331" s="296"/>
      <c r="D331" s="296"/>
      <c r="E331" s="296"/>
      <c r="F331" s="296"/>
      <c r="G331" s="297"/>
      <c r="H331" s="303"/>
      <c r="I331" s="298"/>
      <c r="J331" s="298"/>
      <c r="K331" s="299"/>
      <c r="L331" s="304"/>
      <c r="M331" s="300"/>
      <c r="N331" s="301"/>
      <c r="P331" s="193" t="str">
        <f>IF(R331 = "", "", COUNT(R$4:$R331))</f>
        <v/>
      </c>
      <c r="Q331" s="193" t="str">
        <f t="shared" si="51"/>
        <v/>
      </c>
      <c r="R331" s="194" t="str">
        <f t="shared" si="52"/>
        <v/>
      </c>
      <c r="S331" s="195" t="str">
        <f t="shared" si="54"/>
        <v/>
      </c>
      <c r="T331" s="196" t="str">
        <f t="shared" si="55"/>
        <v/>
      </c>
      <c r="U331" s="197" t="str">
        <f t="shared" si="56"/>
        <v/>
      </c>
      <c r="V331" s="198" t="str">
        <f t="shared" si="53"/>
        <v/>
      </c>
      <c r="W331" s="339" t="str">
        <f t="shared" si="57"/>
        <v/>
      </c>
      <c r="X331" s="341" t="str">
        <f t="shared" si="58"/>
        <v/>
      </c>
      <c r="Y331" s="277"/>
      <c r="AR331" t="str">
        <f t="shared" si="59"/>
        <v/>
      </c>
      <c r="AS331" t="str">
        <f t="shared" si="60"/>
        <v/>
      </c>
    </row>
    <row r="332" spans="1:45">
      <c r="A332" s="294"/>
      <c r="B332" s="295"/>
      <c r="C332" s="296"/>
      <c r="D332" s="296"/>
      <c r="E332" s="296"/>
      <c r="F332" s="296"/>
      <c r="G332" s="297"/>
      <c r="H332" s="303"/>
      <c r="I332" s="298"/>
      <c r="J332" s="298"/>
      <c r="K332" s="299"/>
      <c r="L332" s="304"/>
      <c r="M332" s="300"/>
      <c r="N332" s="301"/>
      <c r="P332" s="193" t="str">
        <f>IF(R332 = "", "", COUNT(R$4:$R332))</f>
        <v/>
      </c>
      <c r="Q332" s="193" t="str">
        <f t="shared" si="51"/>
        <v/>
      </c>
      <c r="R332" s="194" t="str">
        <f t="shared" si="52"/>
        <v/>
      </c>
      <c r="S332" s="195" t="str">
        <f t="shared" si="54"/>
        <v/>
      </c>
      <c r="T332" s="196" t="str">
        <f t="shared" si="55"/>
        <v/>
      </c>
      <c r="U332" s="197" t="str">
        <f t="shared" si="56"/>
        <v/>
      </c>
      <c r="V332" s="198" t="str">
        <f t="shared" si="53"/>
        <v/>
      </c>
      <c r="W332" s="339" t="str">
        <f t="shared" si="57"/>
        <v/>
      </c>
      <c r="X332" s="341" t="str">
        <f t="shared" si="58"/>
        <v/>
      </c>
      <c r="Y332" s="277"/>
      <c r="AR332" t="str">
        <f t="shared" si="59"/>
        <v/>
      </c>
      <c r="AS332" t="str">
        <f t="shared" si="60"/>
        <v/>
      </c>
    </row>
    <row r="333" spans="1:45">
      <c r="A333" s="294"/>
      <c r="B333" s="295"/>
      <c r="C333" s="296"/>
      <c r="D333" s="296"/>
      <c r="E333" s="296"/>
      <c r="F333" s="296"/>
      <c r="G333" s="297"/>
      <c r="H333" s="303"/>
      <c r="I333" s="298"/>
      <c r="J333" s="298"/>
      <c r="K333" s="299"/>
      <c r="L333" s="304"/>
      <c r="M333" s="300"/>
      <c r="N333" s="301"/>
      <c r="P333" s="193" t="str">
        <f>IF(R333 = "", "", COUNT(R$4:$R333))</f>
        <v/>
      </c>
      <c r="Q333" s="193" t="str">
        <f t="shared" si="51"/>
        <v/>
      </c>
      <c r="R333" s="194" t="str">
        <f t="shared" si="52"/>
        <v/>
      </c>
      <c r="S333" s="195" t="str">
        <f t="shared" si="54"/>
        <v/>
      </c>
      <c r="T333" s="196" t="str">
        <f t="shared" si="55"/>
        <v/>
      </c>
      <c r="U333" s="197" t="str">
        <f t="shared" si="56"/>
        <v/>
      </c>
      <c r="V333" s="198" t="str">
        <f t="shared" si="53"/>
        <v/>
      </c>
      <c r="W333" s="339" t="str">
        <f t="shared" si="57"/>
        <v/>
      </c>
      <c r="X333" s="341" t="str">
        <f t="shared" si="58"/>
        <v/>
      </c>
      <c r="Y333" s="277"/>
      <c r="AR333" t="str">
        <f t="shared" si="59"/>
        <v/>
      </c>
      <c r="AS333" t="str">
        <f t="shared" si="60"/>
        <v/>
      </c>
    </row>
    <row r="334" spans="1:45">
      <c r="A334" s="294"/>
      <c r="B334" s="295"/>
      <c r="C334" s="296"/>
      <c r="D334" s="296"/>
      <c r="E334" s="296"/>
      <c r="F334" s="296"/>
      <c r="G334" s="297"/>
      <c r="H334" s="303"/>
      <c r="I334" s="298"/>
      <c r="J334" s="298"/>
      <c r="K334" s="299"/>
      <c r="L334" s="304"/>
      <c r="M334" s="300"/>
      <c r="N334" s="301"/>
      <c r="P334" s="193" t="str">
        <f>IF(R334 = "", "", COUNT(R$4:$R334))</f>
        <v/>
      </c>
      <c r="Q334" s="193" t="str">
        <f t="shared" si="51"/>
        <v/>
      </c>
      <c r="R334" s="194" t="str">
        <f t="shared" si="52"/>
        <v/>
      </c>
      <c r="S334" s="195" t="str">
        <f t="shared" si="54"/>
        <v/>
      </c>
      <c r="T334" s="196" t="str">
        <f t="shared" si="55"/>
        <v/>
      </c>
      <c r="U334" s="197" t="str">
        <f t="shared" si="56"/>
        <v/>
      </c>
      <c r="V334" s="198" t="str">
        <f t="shared" si="53"/>
        <v/>
      </c>
      <c r="W334" s="339" t="str">
        <f t="shared" si="57"/>
        <v/>
      </c>
      <c r="X334" s="341" t="str">
        <f t="shared" si="58"/>
        <v/>
      </c>
      <c r="Y334" s="277"/>
      <c r="AR334" t="str">
        <f t="shared" si="59"/>
        <v/>
      </c>
      <c r="AS334" t="str">
        <f t="shared" si="60"/>
        <v/>
      </c>
    </row>
    <row r="335" spans="1:45">
      <c r="A335" s="294"/>
      <c r="B335" s="295"/>
      <c r="C335" s="296"/>
      <c r="D335" s="296"/>
      <c r="E335" s="296"/>
      <c r="F335" s="296"/>
      <c r="G335" s="297"/>
      <c r="H335" s="303"/>
      <c r="I335" s="298"/>
      <c r="J335" s="298"/>
      <c r="K335" s="299"/>
      <c r="L335" s="304"/>
      <c r="M335" s="300"/>
      <c r="N335" s="301"/>
      <c r="P335" s="193" t="str">
        <f>IF(R335 = "", "", COUNT(R$4:$R335))</f>
        <v/>
      </c>
      <c r="Q335" s="193" t="str">
        <f t="shared" si="51"/>
        <v/>
      </c>
      <c r="R335" s="194" t="str">
        <f t="shared" si="52"/>
        <v/>
      </c>
      <c r="S335" s="195" t="str">
        <f t="shared" si="54"/>
        <v/>
      </c>
      <c r="T335" s="196" t="str">
        <f t="shared" si="55"/>
        <v/>
      </c>
      <c r="U335" s="197" t="str">
        <f t="shared" si="56"/>
        <v/>
      </c>
      <c r="V335" s="198" t="str">
        <f t="shared" si="53"/>
        <v/>
      </c>
      <c r="W335" s="339" t="str">
        <f t="shared" si="57"/>
        <v/>
      </c>
      <c r="X335" s="341" t="str">
        <f t="shared" si="58"/>
        <v/>
      </c>
      <c r="Y335" s="277"/>
      <c r="AR335" t="str">
        <f t="shared" si="59"/>
        <v/>
      </c>
      <c r="AS335" t="str">
        <f t="shared" si="60"/>
        <v/>
      </c>
    </row>
    <row r="336" spans="1:45">
      <c r="A336" s="294"/>
      <c r="B336" s="295"/>
      <c r="C336" s="296"/>
      <c r="D336" s="296"/>
      <c r="E336" s="296"/>
      <c r="F336" s="296"/>
      <c r="G336" s="297"/>
      <c r="H336" s="303"/>
      <c r="I336" s="298"/>
      <c r="J336" s="298"/>
      <c r="K336" s="299"/>
      <c r="L336" s="304"/>
      <c r="M336" s="300"/>
      <c r="N336" s="301"/>
      <c r="P336" s="193" t="str">
        <f>IF(R336 = "", "", COUNT(R$4:$R336))</f>
        <v/>
      </c>
      <c r="Q336" s="193" t="str">
        <f t="shared" si="51"/>
        <v/>
      </c>
      <c r="R336" s="194" t="str">
        <f t="shared" si="52"/>
        <v/>
      </c>
      <c r="S336" s="195" t="str">
        <f t="shared" si="54"/>
        <v/>
      </c>
      <c r="T336" s="196" t="str">
        <f t="shared" si="55"/>
        <v/>
      </c>
      <c r="U336" s="197" t="str">
        <f t="shared" si="56"/>
        <v/>
      </c>
      <c r="V336" s="198" t="str">
        <f t="shared" si="53"/>
        <v/>
      </c>
      <c r="W336" s="339" t="str">
        <f t="shared" si="57"/>
        <v/>
      </c>
      <c r="X336" s="341" t="str">
        <f t="shared" si="58"/>
        <v/>
      </c>
      <c r="Y336" s="277"/>
      <c r="AR336" t="str">
        <f t="shared" si="59"/>
        <v/>
      </c>
      <c r="AS336" t="str">
        <f t="shared" si="60"/>
        <v/>
      </c>
    </row>
    <row r="337" spans="1:45">
      <c r="A337" s="294"/>
      <c r="B337" s="295"/>
      <c r="C337" s="296"/>
      <c r="D337" s="296"/>
      <c r="E337" s="296"/>
      <c r="F337" s="296"/>
      <c r="G337" s="297"/>
      <c r="H337" s="303"/>
      <c r="I337" s="298"/>
      <c r="J337" s="298"/>
      <c r="K337" s="299"/>
      <c r="L337" s="304"/>
      <c r="M337" s="300"/>
      <c r="N337" s="301"/>
      <c r="P337" s="193" t="str">
        <f>IF(R337 = "", "", COUNT(R$4:$R337))</f>
        <v/>
      </c>
      <c r="Q337" s="193" t="str">
        <f t="shared" si="51"/>
        <v/>
      </c>
      <c r="R337" s="194" t="str">
        <f t="shared" si="52"/>
        <v/>
      </c>
      <c r="S337" s="195" t="str">
        <f t="shared" si="54"/>
        <v/>
      </c>
      <c r="T337" s="196" t="str">
        <f t="shared" si="55"/>
        <v/>
      </c>
      <c r="U337" s="197" t="str">
        <f t="shared" si="56"/>
        <v/>
      </c>
      <c r="V337" s="198" t="str">
        <f t="shared" si="53"/>
        <v/>
      </c>
      <c r="W337" s="339" t="str">
        <f t="shared" si="57"/>
        <v/>
      </c>
      <c r="X337" s="341" t="str">
        <f t="shared" si="58"/>
        <v/>
      </c>
      <c r="Y337" s="277"/>
      <c r="AR337" t="str">
        <f t="shared" si="59"/>
        <v/>
      </c>
      <c r="AS337" t="str">
        <f t="shared" si="60"/>
        <v/>
      </c>
    </row>
    <row r="338" spans="1:45">
      <c r="A338" s="294"/>
      <c r="B338" s="295"/>
      <c r="C338" s="296"/>
      <c r="D338" s="296"/>
      <c r="E338" s="296"/>
      <c r="F338" s="296"/>
      <c r="G338" s="297"/>
      <c r="H338" s="303"/>
      <c r="I338" s="298"/>
      <c r="J338" s="298"/>
      <c r="K338" s="299"/>
      <c r="L338" s="304"/>
      <c r="M338" s="300"/>
      <c r="N338" s="301"/>
      <c r="P338" s="193" t="str">
        <f>IF(R338 = "", "", COUNT(R$4:$R338))</f>
        <v/>
      </c>
      <c r="Q338" s="193" t="str">
        <f t="shared" si="51"/>
        <v/>
      </c>
      <c r="R338" s="194" t="str">
        <f t="shared" si="52"/>
        <v/>
      </c>
      <c r="S338" s="195" t="str">
        <f t="shared" si="54"/>
        <v/>
      </c>
      <c r="T338" s="196" t="str">
        <f t="shared" si="55"/>
        <v/>
      </c>
      <c r="U338" s="197" t="str">
        <f t="shared" si="56"/>
        <v/>
      </c>
      <c r="V338" s="198" t="str">
        <f t="shared" si="53"/>
        <v/>
      </c>
      <c r="W338" s="339" t="str">
        <f t="shared" si="57"/>
        <v/>
      </c>
      <c r="X338" s="341" t="str">
        <f t="shared" si="58"/>
        <v/>
      </c>
      <c r="Y338" s="277"/>
      <c r="AR338" t="str">
        <f t="shared" si="59"/>
        <v/>
      </c>
      <c r="AS338" t="str">
        <f t="shared" si="60"/>
        <v/>
      </c>
    </row>
    <row r="339" spans="1:45">
      <c r="A339" s="294"/>
      <c r="B339" s="295"/>
      <c r="C339" s="296"/>
      <c r="D339" s="296"/>
      <c r="E339" s="296"/>
      <c r="F339" s="296"/>
      <c r="G339" s="297"/>
      <c r="H339" s="303"/>
      <c r="I339" s="298"/>
      <c r="J339" s="298"/>
      <c r="K339" s="299"/>
      <c r="L339" s="304"/>
      <c r="M339" s="300"/>
      <c r="N339" s="301"/>
      <c r="P339" s="193" t="str">
        <f>IF(R339 = "", "", COUNT(R$4:$R339))</f>
        <v/>
      </c>
      <c r="Q339" s="193" t="str">
        <f t="shared" si="51"/>
        <v/>
      </c>
      <c r="R339" s="194" t="str">
        <f t="shared" si="52"/>
        <v/>
      </c>
      <c r="S339" s="195" t="str">
        <f t="shared" si="54"/>
        <v/>
      </c>
      <c r="T339" s="196" t="str">
        <f t="shared" si="55"/>
        <v/>
      </c>
      <c r="U339" s="197" t="str">
        <f t="shared" si="56"/>
        <v/>
      </c>
      <c r="V339" s="198" t="str">
        <f t="shared" si="53"/>
        <v/>
      </c>
      <c r="W339" s="339" t="str">
        <f t="shared" si="57"/>
        <v/>
      </c>
      <c r="X339" s="341" t="str">
        <f t="shared" si="58"/>
        <v/>
      </c>
      <c r="Y339" s="277"/>
      <c r="AR339" t="str">
        <f t="shared" si="59"/>
        <v/>
      </c>
      <c r="AS339" t="str">
        <f t="shared" si="60"/>
        <v/>
      </c>
    </row>
    <row r="340" spans="1:45">
      <c r="A340" s="294"/>
      <c r="B340" s="295"/>
      <c r="C340" s="296"/>
      <c r="D340" s="296"/>
      <c r="E340" s="296"/>
      <c r="F340" s="296"/>
      <c r="G340" s="297"/>
      <c r="H340" s="303"/>
      <c r="I340" s="298"/>
      <c r="J340" s="298"/>
      <c r="K340" s="299"/>
      <c r="L340" s="304"/>
      <c r="M340" s="300"/>
      <c r="N340" s="301"/>
      <c r="P340" s="193" t="str">
        <f>IF(R340 = "", "", COUNT(R$4:$R340))</f>
        <v/>
      </c>
      <c r="Q340" s="193" t="str">
        <f t="shared" si="51"/>
        <v/>
      </c>
      <c r="R340" s="194" t="str">
        <f t="shared" si="52"/>
        <v/>
      </c>
      <c r="S340" s="195" t="str">
        <f t="shared" si="54"/>
        <v/>
      </c>
      <c r="T340" s="196" t="str">
        <f t="shared" si="55"/>
        <v/>
      </c>
      <c r="U340" s="197" t="str">
        <f t="shared" si="56"/>
        <v/>
      </c>
      <c r="V340" s="198" t="str">
        <f t="shared" si="53"/>
        <v/>
      </c>
      <c r="W340" s="339" t="str">
        <f t="shared" si="57"/>
        <v/>
      </c>
      <c r="X340" s="341" t="str">
        <f t="shared" si="58"/>
        <v/>
      </c>
      <c r="Y340" s="277"/>
      <c r="AR340" t="str">
        <f t="shared" si="59"/>
        <v/>
      </c>
      <c r="AS340" t="str">
        <f t="shared" si="60"/>
        <v/>
      </c>
    </row>
    <row r="341" spans="1:45">
      <c r="A341" s="294"/>
      <c r="B341" s="295"/>
      <c r="C341" s="296"/>
      <c r="D341" s="296"/>
      <c r="E341" s="296"/>
      <c r="F341" s="296"/>
      <c r="G341" s="297"/>
      <c r="H341" s="303"/>
      <c r="I341" s="298"/>
      <c r="J341" s="298"/>
      <c r="K341" s="299"/>
      <c r="L341" s="304"/>
      <c r="M341" s="300"/>
      <c r="N341" s="301"/>
      <c r="P341" s="193" t="str">
        <f>IF(R341 = "", "", COUNT(R$4:$R341))</f>
        <v/>
      </c>
      <c r="Q341" s="193" t="str">
        <f t="shared" si="51"/>
        <v/>
      </c>
      <c r="R341" s="194" t="str">
        <f t="shared" si="52"/>
        <v/>
      </c>
      <c r="S341" s="195" t="str">
        <f t="shared" si="54"/>
        <v/>
      </c>
      <c r="T341" s="196" t="str">
        <f t="shared" si="55"/>
        <v/>
      </c>
      <c r="U341" s="197" t="str">
        <f t="shared" si="56"/>
        <v/>
      </c>
      <c r="V341" s="198" t="str">
        <f t="shared" si="53"/>
        <v/>
      </c>
      <c r="W341" s="339" t="str">
        <f t="shared" si="57"/>
        <v/>
      </c>
      <c r="X341" s="341" t="str">
        <f t="shared" si="58"/>
        <v/>
      </c>
      <c r="Y341" s="277"/>
      <c r="AR341" t="str">
        <f t="shared" si="59"/>
        <v/>
      </c>
      <c r="AS341" t="str">
        <f t="shared" si="60"/>
        <v/>
      </c>
    </row>
    <row r="342" spans="1:45">
      <c r="A342" s="294"/>
      <c r="B342" s="295"/>
      <c r="C342" s="296"/>
      <c r="D342" s="296"/>
      <c r="E342" s="296"/>
      <c r="F342" s="296"/>
      <c r="G342" s="297"/>
      <c r="H342" s="303"/>
      <c r="I342" s="298"/>
      <c r="J342" s="298"/>
      <c r="K342" s="299"/>
      <c r="L342" s="304"/>
      <c r="M342" s="300"/>
      <c r="N342" s="301"/>
      <c r="P342" s="193" t="str">
        <f>IF(R342 = "", "", COUNT(R$4:$R342))</f>
        <v/>
      </c>
      <c r="Q342" s="193" t="str">
        <f t="shared" si="51"/>
        <v/>
      </c>
      <c r="R342" s="194" t="str">
        <f t="shared" si="52"/>
        <v/>
      </c>
      <c r="S342" s="195" t="str">
        <f t="shared" si="54"/>
        <v/>
      </c>
      <c r="T342" s="196" t="str">
        <f t="shared" si="55"/>
        <v/>
      </c>
      <c r="U342" s="197" t="str">
        <f t="shared" si="56"/>
        <v/>
      </c>
      <c r="V342" s="198" t="str">
        <f t="shared" si="53"/>
        <v/>
      </c>
      <c r="W342" s="339" t="str">
        <f t="shared" si="57"/>
        <v/>
      </c>
      <c r="X342" s="341" t="str">
        <f t="shared" si="58"/>
        <v/>
      </c>
      <c r="Y342" s="277"/>
      <c r="AR342" t="str">
        <f t="shared" si="59"/>
        <v/>
      </c>
      <c r="AS342" t="str">
        <f t="shared" si="60"/>
        <v/>
      </c>
    </row>
    <row r="343" spans="1:45">
      <c r="A343" s="294"/>
      <c r="B343" s="295"/>
      <c r="C343" s="296"/>
      <c r="D343" s="296"/>
      <c r="E343" s="296"/>
      <c r="F343" s="296"/>
      <c r="G343" s="297"/>
      <c r="H343" s="303"/>
      <c r="I343" s="298"/>
      <c r="J343" s="298"/>
      <c r="K343" s="299"/>
      <c r="L343" s="304"/>
      <c r="M343" s="300"/>
      <c r="N343" s="301"/>
      <c r="P343" s="193" t="str">
        <f>IF(R343 = "", "", COUNT(R$4:$R343))</f>
        <v/>
      </c>
      <c r="Q343" s="193" t="str">
        <f t="shared" si="51"/>
        <v/>
      </c>
      <c r="R343" s="194" t="str">
        <f t="shared" si="52"/>
        <v/>
      </c>
      <c r="S343" s="195" t="str">
        <f t="shared" si="54"/>
        <v/>
      </c>
      <c r="T343" s="196" t="str">
        <f t="shared" si="55"/>
        <v/>
      </c>
      <c r="U343" s="197" t="str">
        <f t="shared" si="56"/>
        <v/>
      </c>
      <c r="V343" s="198" t="str">
        <f t="shared" si="53"/>
        <v/>
      </c>
      <c r="W343" s="339" t="str">
        <f t="shared" si="57"/>
        <v/>
      </c>
      <c r="X343" s="341" t="str">
        <f t="shared" si="58"/>
        <v/>
      </c>
      <c r="Y343" s="277"/>
      <c r="AR343" t="str">
        <f t="shared" si="59"/>
        <v/>
      </c>
      <c r="AS343" t="str">
        <f t="shared" si="60"/>
        <v/>
      </c>
    </row>
    <row r="344" spans="1:45">
      <c r="A344" s="294"/>
      <c r="B344" s="295"/>
      <c r="C344" s="296"/>
      <c r="D344" s="296"/>
      <c r="E344" s="296"/>
      <c r="F344" s="296"/>
      <c r="G344" s="297"/>
      <c r="H344" s="303"/>
      <c r="I344" s="298"/>
      <c r="J344" s="298"/>
      <c r="K344" s="299"/>
      <c r="L344" s="304"/>
      <c r="M344" s="300"/>
      <c r="N344" s="301"/>
      <c r="P344" s="193" t="str">
        <f>IF(R344 = "", "", COUNT(R$4:$R344))</f>
        <v/>
      </c>
      <c r="Q344" s="193" t="str">
        <f t="shared" si="51"/>
        <v/>
      </c>
      <c r="R344" s="194" t="str">
        <f t="shared" si="52"/>
        <v/>
      </c>
      <c r="S344" s="195" t="str">
        <f t="shared" si="54"/>
        <v/>
      </c>
      <c r="T344" s="196" t="str">
        <f t="shared" si="55"/>
        <v/>
      </c>
      <c r="U344" s="197" t="str">
        <f t="shared" si="56"/>
        <v/>
      </c>
      <c r="V344" s="198" t="str">
        <f t="shared" si="53"/>
        <v/>
      </c>
      <c r="W344" s="339" t="str">
        <f t="shared" si="57"/>
        <v/>
      </c>
      <c r="X344" s="341" t="str">
        <f t="shared" si="58"/>
        <v/>
      </c>
      <c r="Y344" s="277"/>
      <c r="AR344" t="str">
        <f t="shared" si="59"/>
        <v/>
      </c>
      <c r="AS344" t="str">
        <f t="shared" si="60"/>
        <v/>
      </c>
    </row>
    <row r="345" spans="1:45">
      <c r="A345" s="294"/>
      <c r="B345" s="295"/>
      <c r="C345" s="296"/>
      <c r="D345" s="296"/>
      <c r="E345" s="296"/>
      <c r="F345" s="296"/>
      <c r="G345" s="297"/>
      <c r="H345" s="303"/>
      <c r="I345" s="298"/>
      <c r="J345" s="298"/>
      <c r="K345" s="299"/>
      <c r="L345" s="304"/>
      <c r="M345" s="300"/>
      <c r="N345" s="301"/>
      <c r="P345" s="193" t="str">
        <f>IF(R345 = "", "", COUNT(R$4:$R345))</f>
        <v/>
      </c>
      <c r="Q345" s="193" t="str">
        <f t="shared" si="51"/>
        <v/>
      </c>
      <c r="R345" s="194" t="str">
        <f t="shared" si="52"/>
        <v/>
      </c>
      <c r="S345" s="195" t="str">
        <f t="shared" si="54"/>
        <v/>
      </c>
      <c r="T345" s="196" t="str">
        <f t="shared" si="55"/>
        <v/>
      </c>
      <c r="U345" s="197" t="str">
        <f t="shared" si="56"/>
        <v/>
      </c>
      <c r="V345" s="198" t="str">
        <f t="shared" si="53"/>
        <v/>
      </c>
      <c r="W345" s="339" t="str">
        <f t="shared" si="57"/>
        <v/>
      </c>
      <c r="X345" s="341" t="str">
        <f t="shared" si="58"/>
        <v/>
      </c>
      <c r="Y345" s="277"/>
      <c r="AR345" t="str">
        <f t="shared" si="59"/>
        <v/>
      </c>
      <c r="AS345" t="str">
        <f t="shared" si="60"/>
        <v/>
      </c>
    </row>
    <row r="346" spans="1:45">
      <c r="A346" s="294"/>
      <c r="B346" s="295"/>
      <c r="C346" s="296"/>
      <c r="D346" s="296"/>
      <c r="E346" s="296"/>
      <c r="F346" s="296"/>
      <c r="G346" s="297"/>
      <c r="H346" s="303"/>
      <c r="I346" s="298"/>
      <c r="J346" s="298"/>
      <c r="K346" s="299"/>
      <c r="L346" s="304"/>
      <c r="M346" s="300"/>
      <c r="N346" s="301"/>
      <c r="P346" s="193" t="str">
        <f>IF(R346 = "", "", COUNT(R$4:$R346))</f>
        <v/>
      </c>
      <c r="Q346" s="193" t="str">
        <f t="shared" si="51"/>
        <v/>
      </c>
      <c r="R346" s="194" t="str">
        <f t="shared" si="52"/>
        <v/>
      </c>
      <c r="S346" s="195" t="str">
        <f t="shared" si="54"/>
        <v/>
      </c>
      <c r="T346" s="196" t="str">
        <f t="shared" si="55"/>
        <v/>
      </c>
      <c r="U346" s="197" t="str">
        <f t="shared" si="56"/>
        <v/>
      </c>
      <c r="V346" s="198" t="str">
        <f t="shared" si="53"/>
        <v/>
      </c>
      <c r="W346" s="339" t="str">
        <f t="shared" si="57"/>
        <v/>
      </c>
      <c r="X346" s="341" t="str">
        <f t="shared" si="58"/>
        <v/>
      </c>
      <c r="Y346" s="277"/>
      <c r="AR346" t="str">
        <f t="shared" si="59"/>
        <v/>
      </c>
      <c r="AS346" t="str">
        <f t="shared" si="60"/>
        <v/>
      </c>
    </row>
    <row r="347" spans="1:45">
      <c r="A347" s="294"/>
      <c r="B347" s="295"/>
      <c r="C347" s="296"/>
      <c r="D347" s="296"/>
      <c r="E347" s="296"/>
      <c r="F347" s="296"/>
      <c r="G347" s="297"/>
      <c r="H347" s="303"/>
      <c r="I347" s="298"/>
      <c r="J347" s="298"/>
      <c r="K347" s="299"/>
      <c r="L347" s="304"/>
      <c r="M347" s="300"/>
      <c r="N347" s="301"/>
      <c r="P347" s="193" t="str">
        <f>IF(R347 = "", "", COUNT(R$4:$R347))</f>
        <v/>
      </c>
      <c r="Q347" s="193" t="str">
        <f t="shared" si="51"/>
        <v/>
      </c>
      <c r="R347" s="194" t="str">
        <f t="shared" si="52"/>
        <v/>
      </c>
      <c r="S347" s="195" t="str">
        <f t="shared" si="54"/>
        <v/>
      </c>
      <c r="T347" s="196" t="str">
        <f t="shared" si="55"/>
        <v/>
      </c>
      <c r="U347" s="197" t="str">
        <f t="shared" si="56"/>
        <v/>
      </c>
      <c r="V347" s="198" t="str">
        <f t="shared" si="53"/>
        <v/>
      </c>
      <c r="W347" s="339" t="str">
        <f t="shared" si="57"/>
        <v/>
      </c>
      <c r="X347" s="341" t="str">
        <f t="shared" si="58"/>
        <v/>
      </c>
      <c r="Y347" s="277"/>
      <c r="AR347" t="str">
        <f t="shared" si="59"/>
        <v/>
      </c>
      <c r="AS347" t="str">
        <f t="shared" si="60"/>
        <v/>
      </c>
    </row>
    <row r="348" spans="1:45">
      <c r="A348" s="294"/>
      <c r="B348" s="295"/>
      <c r="C348" s="296"/>
      <c r="D348" s="296"/>
      <c r="E348" s="296"/>
      <c r="F348" s="296"/>
      <c r="G348" s="297"/>
      <c r="H348" s="303"/>
      <c r="I348" s="298"/>
      <c r="J348" s="298"/>
      <c r="K348" s="299"/>
      <c r="L348" s="304"/>
      <c r="M348" s="300"/>
      <c r="N348" s="301"/>
      <c r="P348" s="193" t="str">
        <f>IF(R348 = "", "", COUNT(R$4:$R348))</f>
        <v/>
      </c>
      <c r="Q348" s="193" t="str">
        <f t="shared" si="51"/>
        <v/>
      </c>
      <c r="R348" s="194" t="str">
        <f t="shared" si="52"/>
        <v/>
      </c>
      <c r="S348" s="195" t="str">
        <f t="shared" si="54"/>
        <v/>
      </c>
      <c r="T348" s="196" t="str">
        <f t="shared" si="55"/>
        <v/>
      </c>
      <c r="U348" s="197" t="str">
        <f t="shared" si="56"/>
        <v/>
      </c>
      <c r="V348" s="198" t="str">
        <f t="shared" si="53"/>
        <v/>
      </c>
      <c r="W348" s="339" t="str">
        <f t="shared" si="57"/>
        <v/>
      </c>
      <c r="X348" s="341" t="str">
        <f t="shared" si="58"/>
        <v/>
      </c>
      <c r="Y348" s="277"/>
      <c r="AR348" t="str">
        <f t="shared" si="59"/>
        <v/>
      </c>
      <c r="AS348" t="str">
        <f t="shared" si="60"/>
        <v/>
      </c>
    </row>
    <row r="349" spans="1:45">
      <c r="A349" s="294"/>
      <c r="B349" s="295"/>
      <c r="C349" s="296"/>
      <c r="D349" s="296"/>
      <c r="E349" s="296"/>
      <c r="F349" s="296"/>
      <c r="G349" s="297"/>
      <c r="H349" s="303"/>
      <c r="I349" s="298"/>
      <c r="J349" s="298"/>
      <c r="K349" s="299"/>
      <c r="L349" s="304"/>
      <c r="M349" s="300"/>
      <c r="N349" s="301"/>
      <c r="P349" s="193" t="str">
        <f>IF(R349 = "", "", COUNT(R$4:$R349))</f>
        <v/>
      </c>
      <c r="Q349" s="193" t="str">
        <f t="shared" si="51"/>
        <v/>
      </c>
      <c r="R349" s="194" t="str">
        <f t="shared" si="52"/>
        <v/>
      </c>
      <c r="S349" s="195" t="str">
        <f t="shared" si="54"/>
        <v/>
      </c>
      <c r="T349" s="196" t="str">
        <f t="shared" si="55"/>
        <v/>
      </c>
      <c r="U349" s="197" t="str">
        <f t="shared" si="56"/>
        <v/>
      </c>
      <c r="V349" s="198" t="str">
        <f t="shared" si="53"/>
        <v/>
      </c>
      <c r="W349" s="339" t="str">
        <f t="shared" si="57"/>
        <v/>
      </c>
      <c r="X349" s="341" t="str">
        <f t="shared" si="58"/>
        <v/>
      </c>
      <c r="Y349" s="277"/>
      <c r="AR349" t="str">
        <f t="shared" si="59"/>
        <v/>
      </c>
      <c r="AS349" t="str">
        <f t="shared" si="60"/>
        <v/>
      </c>
    </row>
    <row r="350" spans="1:45">
      <c r="A350" s="294"/>
      <c r="B350" s="295"/>
      <c r="C350" s="296"/>
      <c r="D350" s="296"/>
      <c r="E350" s="296"/>
      <c r="F350" s="296"/>
      <c r="G350" s="297"/>
      <c r="H350" s="303"/>
      <c r="I350" s="298"/>
      <c r="J350" s="298"/>
      <c r="K350" s="299"/>
      <c r="L350" s="304"/>
      <c r="M350" s="300"/>
      <c r="N350" s="301"/>
      <c r="P350" s="193" t="str">
        <f>IF(R350 = "", "", COUNT(R$4:$R350))</f>
        <v/>
      </c>
      <c r="Q350" s="193" t="str">
        <f t="shared" si="51"/>
        <v/>
      </c>
      <c r="R350" s="194" t="str">
        <f t="shared" si="52"/>
        <v/>
      </c>
      <c r="S350" s="195" t="str">
        <f t="shared" si="54"/>
        <v/>
      </c>
      <c r="T350" s="196" t="str">
        <f t="shared" si="55"/>
        <v/>
      </c>
      <c r="U350" s="197" t="str">
        <f t="shared" si="56"/>
        <v/>
      </c>
      <c r="V350" s="198" t="str">
        <f t="shared" si="53"/>
        <v/>
      </c>
      <c r="W350" s="339" t="str">
        <f t="shared" si="57"/>
        <v/>
      </c>
      <c r="X350" s="341" t="str">
        <f t="shared" si="58"/>
        <v/>
      </c>
      <c r="Y350" s="277"/>
      <c r="AR350" t="str">
        <f t="shared" si="59"/>
        <v/>
      </c>
      <c r="AS350" t="str">
        <f t="shared" si="60"/>
        <v/>
      </c>
    </row>
    <row r="351" spans="1:45">
      <c r="A351" s="294"/>
      <c r="B351" s="295"/>
      <c r="C351" s="296"/>
      <c r="D351" s="296"/>
      <c r="E351" s="296"/>
      <c r="F351" s="296"/>
      <c r="G351" s="297"/>
      <c r="H351" s="303"/>
      <c r="I351" s="298"/>
      <c r="J351" s="298"/>
      <c r="K351" s="299"/>
      <c r="L351" s="304"/>
      <c r="M351" s="300"/>
      <c r="N351" s="301"/>
      <c r="P351" s="193" t="str">
        <f>IF(R351 = "", "", COUNT(R$4:$R351))</f>
        <v/>
      </c>
      <c r="Q351" s="193" t="str">
        <f t="shared" si="51"/>
        <v/>
      </c>
      <c r="R351" s="194" t="str">
        <f t="shared" si="52"/>
        <v/>
      </c>
      <c r="S351" s="195" t="str">
        <f t="shared" si="54"/>
        <v/>
      </c>
      <c r="T351" s="196" t="str">
        <f t="shared" si="55"/>
        <v/>
      </c>
      <c r="U351" s="197" t="str">
        <f t="shared" si="56"/>
        <v/>
      </c>
      <c r="V351" s="198" t="str">
        <f t="shared" si="53"/>
        <v/>
      </c>
      <c r="W351" s="339" t="str">
        <f t="shared" si="57"/>
        <v/>
      </c>
      <c r="X351" s="341" t="str">
        <f t="shared" si="58"/>
        <v/>
      </c>
      <c r="Y351" s="277"/>
      <c r="AR351" t="str">
        <f t="shared" si="59"/>
        <v/>
      </c>
      <c r="AS351" t="str">
        <f t="shared" si="60"/>
        <v/>
      </c>
    </row>
    <row r="352" spans="1:45">
      <c r="A352" s="294"/>
      <c r="B352" s="295"/>
      <c r="C352" s="296"/>
      <c r="D352" s="296"/>
      <c r="E352" s="296"/>
      <c r="F352" s="296"/>
      <c r="G352" s="297"/>
      <c r="H352" s="303"/>
      <c r="I352" s="298"/>
      <c r="J352" s="298"/>
      <c r="K352" s="299"/>
      <c r="L352" s="304"/>
      <c r="M352" s="300"/>
      <c r="N352" s="301"/>
      <c r="P352" s="193" t="str">
        <f>IF(R352 = "", "", COUNT(R$4:$R352))</f>
        <v/>
      </c>
      <c r="Q352" s="193" t="str">
        <f t="shared" si="51"/>
        <v/>
      </c>
      <c r="R352" s="194" t="str">
        <f t="shared" si="52"/>
        <v/>
      </c>
      <c r="S352" s="195" t="str">
        <f t="shared" si="54"/>
        <v/>
      </c>
      <c r="T352" s="196" t="str">
        <f t="shared" si="55"/>
        <v/>
      </c>
      <c r="U352" s="197" t="str">
        <f t="shared" si="56"/>
        <v/>
      </c>
      <c r="V352" s="198" t="str">
        <f t="shared" si="53"/>
        <v/>
      </c>
      <c r="W352" s="339" t="str">
        <f t="shared" si="57"/>
        <v/>
      </c>
      <c r="X352" s="341" t="str">
        <f t="shared" si="58"/>
        <v/>
      </c>
      <c r="Y352" s="277"/>
      <c r="AR352" t="str">
        <f t="shared" si="59"/>
        <v/>
      </c>
      <c r="AS352" t="str">
        <f t="shared" si="60"/>
        <v/>
      </c>
    </row>
    <row r="353" spans="1:45">
      <c r="A353" s="294"/>
      <c r="B353" s="295"/>
      <c r="C353" s="296"/>
      <c r="D353" s="296"/>
      <c r="E353" s="296"/>
      <c r="F353" s="296"/>
      <c r="G353" s="297"/>
      <c r="H353" s="303"/>
      <c r="I353" s="298"/>
      <c r="J353" s="298"/>
      <c r="K353" s="299"/>
      <c r="L353" s="304"/>
      <c r="M353" s="300"/>
      <c r="N353" s="301"/>
      <c r="P353" s="193" t="str">
        <f>IF(R353 = "", "", COUNT(R$4:$R353))</f>
        <v/>
      </c>
      <c r="Q353" s="193" t="str">
        <f t="shared" si="51"/>
        <v/>
      </c>
      <c r="R353" s="194" t="str">
        <f t="shared" si="52"/>
        <v/>
      </c>
      <c r="S353" s="195" t="str">
        <f t="shared" si="54"/>
        <v/>
      </c>
      <c r="T353" s="196" t="str">
        <f t="shared" si="55"/>
        <v/>
      </c>
      <c r="U353" s="197" t="str">
        <f t="shared" si="56"/>
        <v/>
      </c>
      <c r="V353" s="198" t="str">
        <f t="shared" si="53"/>
        <v/>
      </c>
      <c r="W353" s="339" t="str">
        <f t="shared" si="57"/>
        <v/>
      </c>
      <c r="X353" s="341" t="str">
        <f t="shared" si="58"/>
        <v/>
      </c>
      <c r="Y353" s="277"/>
      <c r="AR353" t="str">
        <f t="shared" si="59"/>
        <v/>
      </c>
      <c r="AS353" t="str">
        <f t="shared" si="60"/>
        <v/>
      </c>
    </row>
    <row r="354" spans="1:45">
      <c r="A354" s="294"/>
      <c r="B354" s="295"/>
      <c r="C354" s="296"/>
      <c r="D354" s="296"/>
      <c r="E354" s="296"/>
      <c r="F354" s="296"/>
      <c r="G354" s="297"/>
      <c r="H354" s="303"/>
      <c r="I354" s="298"/>
      <c r="J354" s="298"/>
      <c r="K354" s="299"/>
      <c r="L354" s="304"/>
      <c r="M354" s="300"/>
      <c r="N354" s="301"/>
      <c r="P354" s="193" t="str">
        <f>IF(R354 = "", "", COUNT(R$4:$R354))</f>
        <v/>
      </c>
      <c r="Q354" s="193" t="str">
        <f t="shared" si="51"/>
        <v/>
      </c>
      <c r="R354" s="194" t="str">
        <f t="shared" si="52"/>
        <v/>
      </c>
      <c r="S354" s="195" t="str">
        <f t="shared" si="54"/>
        <v/>
      </c>
      <c r="T354" s="196" t="str">
        <f t="shared" si="55"/>
        <v/>
      </c>
      <c r="U354" s="197" t="str">
        <f t="shared" si="56"/>
        <v/>
      </c>
      <c r="V354" s="198" t="str">
        <f t="shared" si="53"/>
        <v/>
      </c>
      <c r="W354" s="339" t="str">
        <f t="shared" si="57"/>
        <v/>
      </c>
      <c r="X354" s="341" t="str">
        <f t="shared" si="58"/>
        <v/>
      </c>
      <c r="Y354" s="277"/>
      <c r="AR354" t="str">
        <f t="shared" si="59"/>
        <v/>
      </c>
      <c r="AS354" t="str">
        <f t="shared" si="60"/>
        <v/>
      </c>
    </row>
    <row r="355" spans="1:45">
      <c r="A355" s="294"/>
      <c r="B355" s="295"/>
      <c r="C355" s="296"/>
      <c r="D355" s="296"/>
      <c r="E355" s="296"/>
      <c r="F355" s="296"/>
      <c r="G355" s="297"/>
      <c r="H355" s="303"/>
      <c r="I355" s="298"/>
      <c r="J355" s="298"/>
      <c r="K355" s="299"/>
      <c r="L355" s="304"/>
      <c r="M355" s="300"/>
      <c r="N355" s="301"/>
      <c r="P355" s="193" t="str">
        <f>IF(R355 = "", "", COUNT(R$4:$R355))</f>
        <v/>
      </c>
      <c r="Q355" s="193" t="str">
        <f t="shared" si="51"/>
        <v/>
      </c>
      <c r="R355" s="194" t="str">
        <f t="shared" si="52"/>
        <v/>
      </c>
      <c r="S355" s="195" t="str">
        <f t="shared" si="54"/>
        <v/>
      </c>
      <c r="T355" s="196" t="str">
        <f t="shared" si="55"/>
        <v/>
      </c>
      <c r="U355" s="197" t="str">
        <f t="shared" si="56"/>
        <v/>
      </c>
      <c r="V355" s="198" t="str">
        <f t="shared" si="53"/>
        <v/>
      </c>
      <c r="W355" s="339" t="str">
        <f t="shared" si="57"/>
        <v/>
      </c>
      <c r="X355" s="341" t="str">
        <f t="shared" si="58"/>
        <v/>
      </c>
      <c r="Y355" s="277"/>
      <c r="AR355" t="str">
        <f t="shared" si="59"/>
        <v/>
      </c>
      <c r="AS355" t="str">
        <f t="shared" si="60"/>
        <v/>
      </c>
    </row>
    <row r="356" spans="1:45">
      <c r="A356" s="294"/>
      <c r="B356" s="295"/>
      <c r="C356" s="296"/>
      <c r="D356" s="296"/>
      <c r="E356" s="296"/>
      <c r="F356" s="296"/>
      <c r="G356" s="297"/>
      <c r="H356" s="303"/>
      <c r="I356" s="298"/>
      <c r="J356" s="298"/>
      <c r="K356" s="299"/>
      <c r="L356" s="304"/>
      <c r="M356" s="300"/>
      <c r="N356" s="301"/>
      <c r="P356" s="193" t="str">
        <f>IF(R356 = "", "", COUNT(R$4:$R356))</f>
        <v/>
      </c>
      <c r="Q356" s="193" t="str">
        <f t="shared" si="51"/>
        <v/>
      </c>
      <c r="R356" s="194" t="str">
        <f t="shared" si="52"/>
        <v/>
      </c>
      <c r="S356" s="195" t="str">
        <f t="shared" si="54"/>
        <v/>
      </c>
      <c r="T356" s="196" t="str">
        <f t="shared" si="55"/>
        <v/>
      </c>
      <c r="U356" s="197" t="str">
        <f t="shared" si="56"/>
        <v/>
      </c>
      <c r="V356" s="198" t="str">
        <f t="shared" si="53"/>
        <v/>
      </c>
      <c r="W356" s="339" t="str">
        <f t="shared" si="57"/>
        <v/>
      </c>
      <c r="X356" s="341" t="str">
        <f t="shared" si="58"/>
        <v/>
      </c>
      <c r="Y356" s="277"/>
      <c r="AR356" t="str">
        <f t="shared" si="59"/>
        <v/>
      </c>
      <c r="AS356" t="str">
        <f t="shared" si="60"/>
        <v/>
      </c>
    </row>
    <row r="357" spans="1:45">
      <c r="A357" s="294"/>
      <c r="B357" s="295"/>
      <c r="C357" s="296"/>
      <c r="D357" s="296"/>
      <c r="E357" s="296"/>
      <c r="F357" s="296"/>
      <c r="G357" s="297"/>
      <c r="H357" s="303"/>
      <c r="I357" s="298"/>
      <c r="J357" s="298"/>
      <c r="K357" s="299"/>
      <c r="L357" s="304"/>
      <c r="M357" s="300"/>
      <c r="N357" s="301"/>
      <c r="P357" s="193" t="str">
        <f>IF(R357 = "", "", COUNT(R$4:$R357))</f>
        <v/>
      </c>
      <c r="Q357" s="193" t="str">
        <f t="shared" si="51"/>
        <v/>
      </c>
      <c r="R357" s="194" t="str">
        <f t="shared" si="52"/>
        <v/>
      </c>
      <c r="S357" s="195" t="str">
        <f t="shared" si="54"/>
        <v/>
      </c>
      <c r="T357" s="196" t="str">
        <f t="shared" si="55"/>
        <v/>
      </c>
      <c r="U357" s="197" t="str">
        <f t="shared" si="56"/>
        <v/>
      </c>
      <c r="V357" s="198" t="str">
        <f t="shared" si="53"/>
        <v/>
      </c>
      <c r="W357" s="339" t="str">
        <f t="shared" si="57"/>
        <v/>
      </c>
      <c r="X357" s="341" t="str">
        <f t="shared" si="58"/>
        <v/>
      </c>
      <c r="Y357" s="277"/>
      <c r="AR357" t="str">
        <f t="shared" si="59"/>
        <v/>
      </c>
      <c r="AS357" t="str">
        <f t="shared" si="60"/>
        <v/>
      </c>
    </row>
    <row r="358" spans="1:45">
      <c r="A358" s="294"/>
      <c r="B358" s="295"/>
      <c r="C358" s="296"/>
      <c r="D358" s="296"/>
      <c r="E358" s="296"/>
      <c r="F358" s="296"/>
      <c r="G358" s="297"/>
      <c r="H358" s="303"/>
      <c r="I358" s="298"/>
      <c r="J358" s="298"/>
      <c r="K358" s="299"/>
      <c r="L358" s="304"/>
      <c r="M358" s="300"/>
      <c r="N358" s="301"/>
      <c r="P358" s="193" t="str">
        <f>IF(R358 = "", "", COUNT(R$4:$R358))</f>
        <v/>
      </c>
      <c r="Q358" s="193" t="str">
        <f t="shared" si="51"/>
        <v/>
      </c>
      <c r="R358" s="194" t="str">
        <f t="shared" si="52"/>
        <v/>
      </c>
      <c r="S358" s="195" t="str">
        <f t="shared" si="54"/>
        <v/>
      </c>
      <c r="T358" s="196" t="str">
        <f t="shared" si="55"/>
        <v/>
      </c>
      <c r="U358" s="197" t="str">
        <f t="shared" si="56"/>
        <v/>
      </c>
      <c r="V358" s="198" t="str">
        <f t="shared" si="53"/>
        <v/>
      </c>
      <c r="W358" s="339" t="str">
        <f t="shared" si="57"/>
        <v/>
      </c>
      <c r="X358" s="341" t="str">
        <f t="shared" si="58"/>
        <v/>
      </c>
      <c r="Y358" s="277"/>
      <c r="AR358" t="str">
        <f t="shared" si="59"/>
        <v/>
      </c>
      <c r="AS358" t="str">
        <f t="shared" si="60"/>
        <v/>
      </c>
    </row>
    <row r="359" spans="1:45">
      <c r="A359" s="294"/>
      <c r="B359" s="295"/>
      <c r="C359" s="296"/>
      <c r="D359" s="296"/>
      <c r="E359" s="296"/>
      <c r="F359" s="296"/>
      <c r="G359" s="297"/>
      <c r="H359" s="303"/>
      <c r="I359" s="298"/>
      <c r="J359" s="298"/>
      <c r="K359" s="299"/>
      <c r="L359" s="304"/>
      <c r="M359" s="300"/>
      <c r="N359" s="301"/>
      <c r="P359" s="193" t="str">
        <f>IF(R359 = "", "", COUNT(R$4:$R359))</f>
        <v/>
      </c>
      <c r="Q359" s="193" t="str">
        <f t="shared" si="51"/>
        <v/>
      </c>
      <c r="R359" s="194" t="str">
        <f t="shared" si="52"/>
        <v/>
      </c>
      <c r="S359" s="195" t="str">
        <f t="shared" si="54"/>
        <v/>
      </c>
      <c r="T359" s="196" t="str">
        <f t="shared" si="55"/>
        <v/>
      </c>
      <c r="U359" s="197" t="str">
        <f t="shared" si="56"/>
        <v/>
      </c>
      <c r="V359" s="198" t="str">
        <f t="shared" si="53"/>
        <v/>
      </c>
      <c r="W359" s="339" t="str">
        <f t="shared" si="57"/>
        <v/>
      </c>
      <c r="X359" s="341" t="str">
        <f t="shared" si="58"/>
        <v/>
      </c>
      <c r="Y359" s="277"/>
      <c r="AR359" t="str">
        <f t="shared" si="59"/>
        <v/>
      </c>
      <c r="AS359" t="str">
        <f t="shared" si="60"/>
        <v/>
      </c>
    </row>
    <row r="360" spans="1:45">
      <c r="A360" s="294"/>
      <c r="B360" s="295"/>
      <c r="C360" s="296"/>
      <c r="D360" s="296"/>
      <c r="E360" s="296"/>
      <c r="F360" s="296"/>
      <c r="G360" s="297"/>
      <c r="H360" s="303"/>
      <c r="I360" s="298"/>
      <c r="J360" s="298"/>
      <c r="K360" s="299"/>
      <c r="L360" s="304"/>
      <c r="M360" s="300"/>
      <c r="N360" s="301"/>
      <c r="P360" s="193" t="str">
        <f>IF(R360 = "", "", COUNT(R$4:$R360))</f>
        <v/>
      </c>
      <c r="Q360" s="193" t="str">
        <f t="shared" si="51"/>
        <v/>
      </c>
      <c r="R360" s="194" t="str">
        <f t="shared" si="52"/>
        <v/>
      </c>
      <c r="S360" s="195" t="str">
        <f t="shared" si="54"/>
        <v/>
      </c>
      <c r="T360" s="196" t="str">
        <f t="shared" si="55"/>
        <v/>
      </c>
      <c r="U360" s="197" t="str">
        <f t="shared" si="56"/>
        <v/>
      </c>
      <c r="V360" s="198" t="str">
        <f t="shared" si="53"/>
        <v/>
      </c>
      <c r="W360" s="339" t="str">
        <f t="shared" si="57"/>
        <v/>
      </c>
      <c r="X360" s="341" t="str">
        <f t="shared" si="58"/>
        <v/>
      </c>
      <c r="Y360" s="277"/>
      <c r="AR360" t="str">
        <f t="shared" si="59"/>
        <v/>
      </c>
      <c r="AS360" t="str">
        <f t="shared" si="60"/>
        <v/>
      </c>
    </row>
    <row r="361" spans="1:45">
      <c r="A361" s="294"/>
      <c r="B361" s="295"/>
      <c r="C361" s="296"/>
      <c r="D361" s="296"/>
      <c r="E361" s="296"/>
      <c r="F361" s="296"/>
      <c r="G361" s="297"/>
      <c r="H361" s="303"/>
      <c r="I361" s="298"/>
      <c r="J361" s="298"/>
      <c r="K361" s="299"/>
      <c r="L361" s="304"/>
      <c r="M361" s="300"/>
      <c r="N361" s="301"/>
      <c r="P361" s="193" t="str">
        <f>IF(R361 = "", "", COUNT(R$4:$R361))</f>
        <v/>
      </c>
      <c r="Q361" s="193" t="str">
        <f t="shared" si="51"/>
        <v/>
      </c>
      <c r="R361" s="194" t="str">
        <f t="shared" si="52"/>
        <v/>
      </c>
      <c r="S361" s="195" t="str">
        <f t="shared" si="54"/>
        <v/>
      </c>
      <c r="T361" s="196" t="str">
        <f t="shared" si="55"/>
        <v/>
      </c>
      <c r="U361" s="197" t="str">
        <f t="shared" si="56"/>
        <v/>
      </c>
      <c r="V361" s="198" t="str">
        <f t="shared" si="53"/>
        <v/>
      </c>
      <c r="W361" s="339" t="str">
        <f t="shared" si="57"/>
        <v/>
      </c>
      <c r="X361" s="341" t="str">
        <f t="shared" si="58"/>
        <v/>
      </c>
      <c r="Y361" s="277"/>
      <c r="AR361" t="str">
        <f t="shared" si="59"/>
        <v/>
      </c>
      <c r="AS361" t="str">
        <f t="shared" si="60"/>
        <v/>
      </c>
    </row>
    <row r="362" spans="1:45">
      <c r="A362" s="294"/>
      <c r="B362" s="295"/>
      <c r="C362" s="296"/>
      <c r="D362" s="296"/>
      <c r="E362" s="296"/>
      <c r="F362" s="296"/>
      <c r="G362" s="297"/>
      <c r="H362" s="303"/>
      <c r="I362" s="298"/>
      <c r="J362" s="298"/>
      <c r="K362" s="299"/>
      <c r="L362" s="304"/>
      <c r="M362" s="300"/>
      <c r="N362" s="301"/>
      <c r="P362" s="193" t="str">
        <f>IF(R362 = "", "", COUNT(R$4:$R362))</f>
        <v/>
      </c>
      <c r="Q362" s="193" t="str">
        <f t="shared" si="51"/>
        <v/>
      </c>
      <c r="R362" s="194" t="str">
        <f t="shared" si="52"/>
        <v/>
      </c>
      <c r="S362" s="195" t="str">
        <f t="shared" si="54"/>
        <v/>
      </c>
      <c r="T362" s="196" t="str">
        <f t="shared" si="55"/>
        <v/>
      </c>
      <c r="U362" s="197" t="str">
        <f t="shared" si="56"/>
        <v/>
      </c>
      <c r="V362" s="198" t="str">
        <f t="shared" si="53"/>
        <v/>
      </c>
      <c r="W362" s="339" t="str">
        <f t="shared" si="57"/>
        <v/>
      </c>
      <c r="X362" s="341" t="str">
        <f t="shared" si="58"/>
        <v/>
      </c>
      <c r="Y362" s="277"/>
      <c r="AR362" t="str">
        <f t="shared" si="59"/>
        <v/>
      </c>
      <c r="AS362" t="str">
        <f t="shared" si="60"/>
        <v/>
      </c>
    </row>
    <row r="363" spans="1:45">
      <c r="A363" s="294"/>
      <c r="B363" s="295"/>
      <c r="C363" s="296"/>
      <c r="D363" s="296"/>
      <c r="E363" s="296"/>
      <c r="F363" s="296"/>
      <c r="G363" s="297"/>
      <c r="H363" s="303"/>
      <c r="I363" s="298"/>
      <c r="J363" s="298"/>
      <c r="K363" s="299"/>
      <c r="L363" s="304"/>
      <c r="M363" s="300"/>
      <c r="N363" s="301"/>
      <c r="P363" s="193" t="str">
        <f>IF(R363 = "", "", COUNT(R$4:$R363))</f>
        <v/>
      </c>
      <c r="Q363" s="193" t="str">
        <f t="shared" si="51"/>
        <v/>
      </c>
      <c r="R363" s="194" t="str">
        <f t="shared" si="52"/>
        <v/>
      </c>
      <c r="S363" s="195" t="str">
        <f t="shared" si="54"/>
        <v/>
      </c>
      <c r="T363" s="196" t="str">
        <f t="shared" si="55"/>
        <v/>
      </c>
      <c r="U363" s="197" t="str">
        <f t="shared" si="56"/>
        <v/>
      </c>
      <c r="V363" s="198" t="str">
        <f t="shared" si="53"/>
        <v/>
      </c>
      <c r="W363" s="339" t="str">
        <f t="shared" si="57"/>
        <v/>
      </c>
      <c r="X363" s="341" t="str">
        <f t="shared" si="58"/>
        <v/>
      </c>
      <c r="Y363" s="277"/>
      <c r="AR363" t="str">
        <f t="shared" si="59"/>
        <v/>
      </c>
      <c r="AS363" t="str">
        <f t="shared" si="60"/>
        <v/>
      </c>
    </row>
    <row r="364" spans="1:45">
      <c r="A364" s="294"/>
      <c r="B364" s="295"/>
      <c r="C364" s="296"/>
      <c r="D364" s="296"/>
      <c r="E364" s="296"/>
      <c r="F364" s="296"/>
      <c r="G364" s="297"/>
      <c r="H364" s="303"/>
      <c r="I364" s="298"/>
      <c r="J364" s="298"/>
      <c r="K364" s="299"/>
      <c r="L364" s="304"/>
      <c r="M364" s="300"/>
      <c r="N364" s="301"/>
      <c r="P364" s="193" t="str">
        <f>IF(R364 = "", "", COUNT(R$4:$R364))</f>
        <v/>
      </c>
      <c r="Q364" s="193" t="str">
        <f t="shared" si="51"/>
        <v/>
      </c>
      <c r="R364" s="194" t="str">
        <f t="shared" si="52"/>
        <v/>
      </c>
      <c r="S364" s="195" t="str">
        <f t="shared" si="54"/>
        <v/>
      </c>
      <c r="T364" s="196" t="str">
        <f t="shared" si="55"/>
        <v/>
      </c>
      <c r="U364" s="197" t="str">
        <f t="shared" si="56"/>
        <v/>
      </c>
      <c r="V364" s="198" t="str">
        <f t="shared" si="53"/>
        <v/>
      </c>
      <c r="W364" s="339" t="str">
        <f t="shared" si="57"/>
        <v/>
      </c>
      <c r="X364" s="341" t="str">
        <f t="shared" si="58"/>
        <v/>
      </c>
      <c r="Y364" s="277"/>
      <c r="AR364" t="str">
        <f t="shared" si="59"/>
        <v/>
      </c>
      <c r="AS364" t="str">
        <f t="shared" si="60"/>
        <v/>
      </c>
    </row>
    <row r="365" spans="1:45">
      <c r="A365" s="294"/>
      <c r="B365" s="295"/>
      <c r="C365" s="296"/>
      <c r="D365" s="296"/>
      <c r="E365" s="296"/>
      <c r="F365" s="296"/>
      <c r="G365" s="297"/>
      <c r="H365" s="303"/>
      <c r="I365" s="298"/>
      <c r="J365" s="298"/>
      <c r="K365" s="299"/>
      <c r="L365" s="304"/>
      <c r="M365" s="300"/>
      <c r="N365" s="301"/>
      <c r="P365" s="193" t="str">
        <f>IF(R365 = "", "", COUNT(R$4:$R365))</f>
        <v/>
      </c>
      <c r="Q365" s="193" t="str">
        <f t="shared" si="51"/>
        <v/>
      </c>
      <c r="R365" s="194" t="str">
        <f t="shared" si="52"/>
        <v/>
      </c>
      <c r="S365" s="195" t="str">
        <f t="shared" si="54"/>
        <v/>
      </c>
      <c r="T365" s="196" t="str">
        <f t="shared" si="55"/>
        <v/>
      </c>
      <c r="U365" s="197" t="str">
        <f t="shared" si="56"/>
        <v/>
      </c>
      <c r="V365" s="198" t="str">
        <f t="shared" si="53"/>
        <v/>
      </c>
      <c r="W365" s="339" t="str">
        <f t="shared" si="57"/>
        <v/>
      </c>
      <c r="X365" s="341" t="str">
        <f t="shared" si="58"/>
        <v/>
      </c>
      <c r="Y365" s="277"/>
      <c r="AR365" t="str">
        <f t="shared" si="59"/>
        <v/>
      </c>
      <c r="AS365" t="str">
        <f t="shared" si="60"/>
        <v/>
      </c>
    </row>
    <row r="366" spans="1:45">
      <c r="A366" s="294"/>
      <c r="B366" s="295"/>
      <c r="C366" s="296"/>
      <c r="D366" s="296"/>
      <c r="E366" s="296"/>
      <c r="F366" s="296"/>
      <c r="G366" s="297"/>
      <c r="H366" s="303"/>
      <c r="I366" s="298"/>
      <c r="J366" s="298"/>
      <c r="K366" s="299"/>
      <c r="L366" s="304"/>
      <c r="M366" s="300"/>
      <c r="N366" s="301"/>
      <c r="P366" s="193" t="str">
        <f>IF(R366 = "", "", COUNT(R$4:$R366))</f>
        <v/>
      </c>
      <c r="Q366" s="193" t="str">
        <f t="shared" si="51"/>
        <v/>
      </c>
      <c r="R366" s="194" t="str">
        <f t="shared" si="52"/>
        <v/>
      </c>
      <c r="S366" s="195" t="str">
        <f t="shared" si="54"/>
        <v/>
      </c>
      <c r="T366" s="196" t="str">
        <f t="shared" si="55"/>
        <v/>
      </c>
      <c r="U366" s="197" t="str">
        <f t="shared" si="56"/>
        <v/>
      </c>
      <c r="V366" s="198" t="str">
        <f t="shared" si="53"/>
        <v/>
      </c>
      <c r="W366" s="339" t="str">
        <f t="shared" si="57"/>
        <v/>
      </c>
      <c r="X366" s="341" t="str">
        <f t="shared" si="58"/>
        <v/>
      </c>
      <c r="Y366" s="277"/>
      <c r="AR366" t="str">
        <f t="shared" si="59"/>
        <v/>
      </c>
      <c r="AS366" t="str">
        <f t="shared" si="60"/>
        <v/>
      </c>
    </row>
    <row r="367" spans="1:45">
      <c r="A367" s="294"/>
      <c r="B367" s="295"/>
      <c r="C367" s="296"/>
      <c r="D367" s="296"/>
      <c r="E367" s="296"/>
      <c r="F367" s="296"/>
      <c r="G367" s="297"/>
      <c r="H367" s="303"/>
      <c r="I367" s="298"/>
      <c r="J367" s="298"/>
      <c r="K367" s="299"/>
      <c r="L367" s="304"/>
      <c r="M367" s="300"/>
      <c r="N367" s="301"/>
      <c r="P367" s="193" t="str">
        <f>IF(R367 = "", "", COUNT(R$4:$R367))</f>
        <v/>
      </c>
      <c r="Q367" s="193" t="str">
        <f t="shared" si="51"/>
        <v/>
      </c>
      <c r="R367" s="194" t="str">
        <f t="shared" si="52"/>
        <v/>
      </c>
      <c r="S367" s="195" t="str">
        <f t="shared" si="54"/>
        <v/>
      </c>
      <c r="T367" s="196" t="str">
        <f t="shared" si="55"/>
        <v/>
      </c>
      <c r="U367" s="197" t="str">
        <f t="shared" si="56"/>
        <v/>
      </c>
      <c r="V367" s="198" t="str">
        <f t="shared" si="53"/>
        <v/>
      </c>
      <c r="W367" s="339" t="str">
        <f t="shared" si="57"/>
        <v/>
      </c>
      <c r="X367" s="341" t="str">
        <f t="shared" si="58"/>
        <v/>
      </c>
      <c r="Y367" s="277"/>
      <c r="AR367" t="str">
        <f t="shared" si="59"/>
        <v/>
      </c>
      <c r="AS367" t="str">
        <f t="shared" si="60"/>
        <v/>
      </c>
    </row>
    <row r="368" spans="1:45">
      <c r="A368" s="294"/>
      <c r="B368" s="295"/>
      <c r="C368" s="296"/>
      <c r="D368" s="296"/>
      <c r="E368" s="296"/>
      <c r="F368" s="296"/>
      <c r="G368" s="297"/>
      <c r="H368" s="303"/>
      <c r="I368" s="298"/>
      <c r="J368" s="298"/>
      <c r="K368" s="299"/>
      <c r="L368" s="304"/>
      <c r="M368" s="300"/>
      <c r="N368" s="301"/>
      <c r="P368" s="193" t="str">
        <f>IF(R368 = "", "", COUNT(R$4:$R368))</f>
        <v/>
      </c>
      <c r="Q368" s="193" t="str">
        <f t="shared" si="51"/>
        <v/>
      </c>
      <c r="R368" s="194" t="str">
        <f t="shared" si="52"/>
        <v/>
      </c>
      <c r="S368" s="195" t="str">
        <f t="shared" si="54"/>
        <v/>
      </c>
      <c r="T368" s="196" t="str">
        <f t="shared" si="55"/>
        <v/>
      </c>
      <c r="U368" s="197" t="str">
        <f t="shared" si="56"/>
        <v/>
      </c>
      <c r="V368" s="198" t="str">
        <f t="shared" si="53"/>
        <v/>
      </c>
      <c r="W368" s="339" t="str">
        <f t="shared" si="57"/>
        <v/>
      </c>
      <c r="X368" s="341" t="str">
        <f t="shared" si="58"/>
        <v/>
      </c>
      <c r="Y368" s="277"/>
      <c r="AR368" t="str">
        <f t="shared" si="59"/>
        <v/>
      </c>
      <c r="AS368" t="str">
        <f t="shared" si="60"/>
        <v/>
      </c>
    </row>
    <row r="369" spans="1:45">
      <c r="A369" s="294"/>
      <c r="B369" s="295"/>
      <c r="C369" s="296"/>
      <c r="D369" s="296"/>
      <c r="E369" s="296"/>
      <c r="F369" s="296"/>
      <c r="G369" s="297"/>
      <c r="H369" s="303"/>
      <c r="I369" s="298"/>
      <c r="J369" s="298"/>
      <c r="K369" s="299"/>
      <c r="L369" s="304"/>
      <c r="M369" s="300"/>
      <c r="N369" s="301"/>
      <c r="P369" s="193" t="str">
        <f>IF(R369 = "", "", COUNT(R$4:$R369))</f>
        <v/>
      </c>
      <c r="Q369" s="193" t="str">
        <f t="shared" si="51"/>
        <v/>
      </c>
      <c r="R369" s="194" t="str">
        <f t="shared" si="52"/>
        <v/>
      </c>
      <c r="S369" s="195" t="str">
        <f t="shared" si="54"/>
        <v/>
      </c>
      <c r="T369" s="196" t="str">
        <f t="shared" si="55"/>
        <v/>
      </c>
      <c r="U369" s="197" t="str">
        <f t="shared" si="56"/>
        <v/>
      </c>
      <c r="V369" s="198" t="str">
        <f t="shared" si="53"/>
        <v/>
      </c>
      <c r="W369" s="339" t="str">
        <f t="shared" si="57"/>
        <v/>
      </c>
      <c r="X369" s="341" t="str">
        <f t="shared" si="58"/>
        <v/>
      </c>
      <c r="Y369" s="277"/>
      <c r="AR369" t="str">
        <f t="shared" si="59"/>
        <v/>
      </c>
      <c r="AS369" t="str">
        <f t="shared" si="60"/>
        <v/>
      </c>
    </row>
    <row r="370" spans="1:45">
      <c r="A370" s="294"/>
      <c r="B370" s="295"/>
      <c r="C370" s="296"/>
      <c r="D370" s="296"/>
      <c r="E370" s="296"/>
      <c r="F370" s="296"/>
      <c r="G370" s="297"/>
      <c r="H370" s="303"/>
      <c r="I370" s="298"/>
      <c r="J370" s="298"/>
      <c r="K370" s="299"/>
      <c r="L370" s="304"/>
      <c r="M370" s="300"/>
      <c r="N370" s="301"/>
      <c r="P370" s="193" t="str">
        <f>IF(R370 = "", "", COUNT(R$4:$R370))</f>
        <v/>
      </c>
      <c r="Q370" s="193" t="str">
        <f t="shared" si="51"/>
        <v/>
      </c>
      <c r="R370" s="194" t="str">
        <f t="shared" si="52"/>
        <v/>
      </c>
      <c r="S370" s="195" t="str">
        <f t="shared" si="54"/>
        <v/>
      </c>
      <c r="T370" s="196" t="str">
        <f t="shared" si="55"/>
        <v/>
      </c>
      <c r="U370" s="197" t="str">
        <f t="shared" si="56"/>
        <v/>
      </c>
      <c r="V370" s="198" t="str">
        <f t="shared" si="53"/>
        <v/>
      </c>
      <c r="W370" s="339" t="str">
        <f t="shared" si="57"/>
        <v/>
      </c>
      <c r="X370" s="341" t="str">
        <f t="shared" si="58"/>
        <v/>
      </c>
      <c r="Y370" s="277"/>
      <c r="AR370" t="str">
        <f t="shared" si="59"/>
        <v/>
      </c>
      <c r="AS370" t="str">
        <f t="shared" si="60"/>
        <v/>
      </c>
    </row>
    <row r="371" spans="1:45">
      <c r="A371" s="294"/>
      <c r="B371" s="295"/>
      <c r="C371" s="296"/>
      <c r="D371" s="296"/>
      <c r="E371" s="296"/>
      <c r="F371" s="296"/>
      <c r="G371" s="297"/>
      <c r="H371" s="303"/>
      <c r="I371" s="298"/>
      <c r="J371" s="298"/>
      <c r="K371" s="299"/>
      <c r="L371" s="304"/>
      <c r="M371" s="300"/>
      <c r="N371" s="301"/>
      <c r="P371" s="193" t="str">
        <f>IF(R371 = "", "", COUNT(R$4:$R371))</f>
        <v/>
      </c>
      <c r="Q371" s="193" t="str">
        <f t="shared" si="51"/>
        <v/>
      </c>
      <c r="R371" s="194" t="str">
        <f t="shared" si="52"/>
        <v/>
      </c>
      <c r="S371" s="195" t="str">
        <f t="shared" si="54"/>
        <v/>
      </c>
      <c r="T371" s="196" t="str">
        <f t="shared" si="55"/>
        <v/>
      </c>
      <c r="U371" s="197" t="str">
        <f t="shared" si="56"/>
        <v/>
      </c>
      <c r="V371" s="198" t="str">
        <f t="shared" si="53"/>
        <v/>
      </c>
      <c r="W371" s="339" t="str">
        <f t="shared" si="57"/>
        <v/>
      </c>
      <c r="X371" s="341" t="str">
        <f t="shared" si="58"/>
        <v/>
      </c>
      <c r="Y371" s="277"/>
      <c r="AR371" t="str">
        <f t="shared" si="59"/>
        <v/>
      </c>
      <c r="AS371" t="str">
        <f t="shared" si="60"/>
        <v/>
      </c>
    </row>
    <row r="372" spans="1:45">
      <c r="A372" s="294"/>
      <c r="B372" s="295"/>
      <c r="C372" s="296"/>
      <c r="D372" s="296"/>
      <c r="E372" s="296"/>
      <c r="F372" s="296"/>
      <c r="G372" s="297"/>
      <c r="H372" s="303"/>
      <c r="I372" s="298"/>
      <c r="J372" s="298"/>
      <c r="K372" s="299"/>
      <c r="L372" s="304"/>
      <c r="M372" s="300"/>
      <c r="N372" s="301"/>
      <c r="P372" s="193" t="str">
        <f>IF(R372 = "", "", COUNT(R$4:$R372))</f>
        <v/>
      </c>
      <c r="Q372" s="193" t="str">
        <f t="shared" si="51"/>
        <v/>
      </c>
      <c r="R372" s="194" t="str">
        <f t="shared" si="52"/>
        <v/>
      </c>
      <c r="S372" s="195" t="str">
        <f t="shared" si="54"/>
        <v/>
      </c>
      <c r="T372" s="196" t="str">
        <f t="shared" si="55"/>
        <v/>
      </c>
      <c r="U372" s="197" t="str">
        <f t="shared" si="56"/>
        <v/>
      </c>
      <c r="V372" s="198" t="str">
        <f t="shared" si="53"/>
        <v/>
      </c>
      <c r="W372" s="339" t="str">
        <f t="shared" si="57"/>
        <v/>
      </c>
      <c r="X372" s="341" t="str">
        <f t="shared" si="58"/>
        <v/>
      </c>
      <c r="Y372" s="277"/>
      <c r="AR372" t="str">
        <f t="shared" si="59"/>
        <v/>
      </c>
      <c r="AS372" t="str">
        <f t="shared" si="60"/>
        <v/>
      </c>
    </row>
    <row r="373" spans="1:45">
      <c r="A373" s="294"/>
      <c r="B373" s="295"/>
      <c r="C373" s="296"/>
      <c r="D373" s="296"/>
      <c r="E373" s="296"/>
      <c r="F373" s="296"/>
      <c r="G373" s="297"/>
      <c r="H373" s="303"/>
      <c r="I373" s="298"/>
      <c r="J373" s="298"/>
      <c r="K373" s="299"/>
      <c r="L373" s="304"/>
      <c r="M373" s="300"/>
      <c r="N373" s="301"/>
      <c r="P373" s="193" t="str">
        <f>IF(R373 = "", "", COUNT(R$4:$R373))</f>
        <v/>
      </c>
      <c r="Q373" s="193" t="str">
        <f t="shared" si="51"/>
        <v/>
      </c>
      <c r="R373" s="194" t="str">
        <f t="shared" si="52"/>
        <v/>
      </c>
      <c r="S373" s="195" t="str">
        <f t="shared" si="54"/>
        <v/>
      </c>
      <c r="T373" s="196" t="str">
        <f t="shared" si="55"/>
        <v/>
      </c>
      <c r="U373" s="197" t="str">
        <f t="shared" si="56"/>
        <v/>
      </c>
      <c r="V373" s="198" t="str">
        <f t="shared" si="53"/>
        <v/>
      </c>
      <c r="W373" s="339" t="str">
        <f t="shared" si="57"/>
        <v/>
      </c>
      <c r="X373" s="341" t="str">
        <f t="shared" si="58"/>
        <v/>
      </c>
      <c r="Y373" s="277"/>
      <c r="AR373" t="str">
        <f t="shared" si="59"/>
        <v/>
      </c>
      <c r="AS373" t="str">
        <f t="shared" si="60"/>
        <v/>
      </c>
    </row>
    <row r="374" spans="1:45">
      <c r="A374" s="294"/>
      <c r="B374" s="295"/>
      <c r="C374" s="296"/>
      <c r="D374" s="296"/>
      <c r="E374" s="296"/>
      <c r="F374" s="296"/>
      <c r="G374" s="297"/>
      <c r="H374" s="303"/>
      <c r="I374" s="298"/>
      <c r="J374" s="298"/>
      <c r="K374" s="299"/>
      <c r="L374" s="304"/>
      <c r="M374" s="300"/>
      <c r="N374" s="301"/>
      <c r="P374" s="193" t="str">
        <f>IF(R374 = "", "", COUNT(R$4:$R374))</f>
        <v/>
      </c>
      <c r="Q374" s="193" t="str">
        <f t="shared" si="51"/>
        <v/>
      </c>
      <c r="R374" s="194" t="str">
        <f t="shared" si="52"/>
        <v/>
      </c>
      <c r="S374" s="195" t="str">
        <f t="shared" si="54"/>
        <v/>
      </c>
      <c r="T374" s="196" t="str">
        <f t="shared" si="55"/>
        <v/>
      </c>
      <c r="U374" s="197" t="str">
        <f t="shared" si="56"/>
        <v/>
      </c>
      <c r="V374" s="198" t="str">
        <f t="shared" si="53"/>
        <v/>
      </c>
      <c r="W374" s="339" t="str">
        <f t="shared" si="57"/>
        <v/>
      </c>
      <c r="X374" s="341" t="str">
        <f t="shared" si="58"/>
        <v/>
      </c>
      <c r="Y374" s="277"/>
      <c r="AR374" t="str">
        <f t="shared" si="59"/>
        <v/>
      </c>
      <c r="AS374" t="str">
        <f t="shared" si="60"/>
        <v/>
      </c>
    </row>
    <row r="375" spans="1:45">
      <c r="A375" s="294"/>
      <c r="B375" s="295"/>
      <c r="C375" s="296"/>
      <c r="D375" s="296"/>
      <c r="E375" s="296"/>
      <c r="F375" s="296"/>
      <c r="G375" s="297"/>
      <c r="H375" s="303"/>
      <c r="I375" s="298"/>
      <c r="J375" s="298"/>
      <c r="K375" s="299"/>
      <c r="L375" s="304"/>
      <c r="M375" s="300"/>
      <c r="N375" s="301"/>
      <c r="P375" s="193" t="str">
        <f>IF(R375 = "", "", COUNT(R$4:$R375))</f>
        <v/>
      </c>
      <c r="Q375" s="193" t="str">
        <f t="shared" si="51"/>
        <v/>
      </c>
      <c r="R375" s="194" t="str">
        <f t="shared" si="52"/>
        <v/>
      </c>
      <c r="S375" s="195" t="str">
        <f t="shared" si="54"/>
        <v/>
      </c>
      <c r="T375" s="196" t="str">
        <f t="shared" si="55"/>
        <v/>
      </c>
      <c r="U375" s="197" t="str">
        <f t="shared" si="56"/>
        <v/>
      </c>
      <c r="V375" s="198" t="str">
        <f t="shared" si="53"/>
        <v/>
      </c>
      <c r="W375" s="339" t="str">
        <f t="shared" si="57"/>
        <v/>
      </c>
      <c r="X375" s="341" t="str">
        <f t="shared" si="58"/>
        <v/>
      </c>
      <c r="Y375" s="277"/>
      <c r="AR375" t="str">
        <f t="shared" si="59"/>
        <v/>
      </c>
      <c r="AS375" t="str">
        <f t="shared" si="60"/>
        <v/>
      </c>
    </row>
    <row r="376" spans="1:45">
      <c r="A376" s="294"/>
      <c r="B376" s="295"/>
      <c r="C376" s="296"/>
      <c r="D376" s="296"/>
      <c r="E376" s="296"/>
      <c r="F376" s="296"/>
      <c r="G376" s="297"/>
      <c r="H376" s="303"/>
      <c r="I376" s="298"/>
      <c r="J376" s="298"/>
      <c r="K376" s="299"/>
      <c r="L376" s="304"/>
      <c r="M376" s="300"/>
      <c r="N376" s="301"/>
      <c r="P376" s="193" t="str">
        <f>IF(R376 = "", "", COUNT(R$4:$R376))</f>
        <v/>
      </c>
      <c r="Q376" s="193" t="str">
        <f t="shared" si="51"/>
        <v/>
      </c>
      <c r="R376" s="194" t="str">
        <f t="shared" si="52"/>
        <v/>
      </c>
      <c r="S376" s="195" t="str">
        <f t="shared" si="54"/>
        <v/>
      </c>
      <c r="T376" s="196" t="str">
        <f t="shared" si="55"/>
        <v/>
      </c>
      <c r="U376" s="197" t="str">
        <f t="shared" si="56"/>
        <v/>
      </c>
      <c r="V376" s="198" t="str">
        <f t="shared" si="53"/>
        <v/>
      </c>
      <c r="W376" s="339" t="str">
        <f t="shared" si="57"/>
        <v/>
      </c>
      <c r="X376" s="341" t="str">
        <f t="shared" si="58"/>
        <v/>
      </c>
      <c r="Y376" s="277"/>
      <c r="AR376" t="str">
        <f t="shared" si="59"/>
        <v/>
      </c>
      <c r="AS376" t="str">
        <f t="shared" si="60"/>
        <v/>
      </c>
    </row>
    <row r="377" spans="1:45">
      <c r="A377" s="294"/>
      <c r="B377" s="295"/>
      <c r="C377" s="296"/>
      <c r="D377" s="296"/>
      <c r="E377" s="296"/>
      <c r="F377" s="296"/>
      <c r="G377" s="297"/>
      <c r="H377" s="303"/>
      <c r="I377" s="298"/>
      <c r="J377" s="298"/>
      <c r="K377" s="299"/>
      <c r="L377" s="304"/>
      <c r="M377" s="300"/>
      <c r="N377" s="301"/>
      <c r="P377" s="193" t="str">
        <f>IF(R377 = "", "", COUNT(R$4:$R377))</f>
        <v/>
      </c>
      <c r="Q377" s="193" t="str">
        <f t="shared" si="51"/>
        <v/>
      </c>
      <c r="R377" s="194" t="str">
        <f t="shared" si="52"/>
        <v/>
      </c>
      <c r="S377" s="195" t="str">
        <f t="shared" si="54"/>
        <v/>
      </c>
      <c r="T377" s="196" t="str">
        <f t="shared" si="55"/>
        <v/>
      </c>
      <c r="U377" s="197" t="str">
        <f t="shared" si="56"/>
        <v/>
      </c>
      <c r="V377" s="198" t="str">
        <f t="shared" si="53"/>
        <v/>
      </c>
      <c r="W377" s="339" t="str">
        <f t="shared" si="57"/>
        <v/>
      </c>
      <c r="X377" s="341" t="str">
        <f t="shared" si="58"/>
        <v/>
      </c>
      <c r="Y377" s="277"/>
      <c r="AR377" t="str">
        <f t="shared" si="59"/>
        <v/>
      </c>
      <c r="AS377" t="str">
        <f t="shared" si="60"/>
        <v/>
      </c>
    </row>
    <row r="378" spans="1:45">
      <c r="A378" s="294"/>
      <c r="B378" s="295"/>
      <c r="C378" s="296"/>
      <c r="D378" s="296"/>
      <c r="E378" s="296"/>
      <c r="F378" s="296"/>
      <c r="G378" s="297"/>
      <c r="H378" s="303"/>
      <c r="I378" s="298"/>
      <c r="J378" s="298"/>
      <c r="K378" s="299"/>
      <c r="L378" s="304"/>
      <c r="M378" s="300"/>
      <c r="N378" s="301"/>
      <c r="P378" s="193" t="str">
        <f>IF(R378 = "", "", COUNT(R$4:$R378))</f>
        <v/>
      </c>
      <c r="Q378" s="193" t="str">
        <f t="shared" si="51"/>
        <v/>
      </c>
      <c r="R378" s="194" t="str">
        <f t="shared" si="52"/>
        <v/>
      </c>
      <c r="S378" s="195" t="str">
        <f t="shared" si="54"/>
        <v/>
      </c>
      <c r="T378" s="196" t="str">
        <f t="shared" si="55"/>
        <v/>
      </c>
      <c r="U378" s="197" t="str">
        <f t="shared" si="56"/>
        <v/>
      </c>
      <c r="V378" s="198" t="str">
        <f t="shared" si="53"/>
        <v/>
      </c>
      <c r="W378" s="339" t="str">
        <f t="shared" si="57"/>
        <v/>
      </c>
      <c r="X378" s="341" t="str">
        <f t="shared" si="58"/>
        <v/>
      </c>
      <c r="Y378" s="277"/>
      <c r="AR378" t="str">
        <f t="shared" si="59"/>
        <v/>
      </c>
      <c r="AS378" t="str">
        <f t="shared" si="60"/>
        <v/>
      </c>
    </row>
    <row r="379" spans="1:45">
      <c r="A379" s="294"/>
      <c r="B379" s="295"/>
      <c r="C379" s="296"/>
      <c r="D379" s="296"/>
      <c r="E379" s="296"/>
      <c r="F379" s="296"/>
      <c r="G379" s="297"/>
      <c r="H379" s="303"/>
      <c r="I379" s="298"/>
      <c r="J379" s="298"/>
      <c r="K379" s="299"/>
      <c r="L379" s="304"/>
      <c r="M379" s="300"/>
      <c r="N379" s="301"/>
      <c r="P379" s="193" t="str">
        <f>IF(R379 = "", "", COUNT(R$4:$R379))</f>
        <v/>
      </c>
      <c r="Q379" s="193" t="str">
        <f t="shared" si="51"/>
        <v/>
      </c>
      <c r="R379" s="194" t="str">
        <f t="shared" si="52"/>
        <v/>
      </c>
      <c r="S379" s="195" t="str">
        <f t="shared" si="54"/>
        <v/>
      </c>
      <c r="T379" s="196" t="str">
        <f t="shared" si="55"/>
        <v/>
      </c>
      <c r="U379" s="197" t="str">
        <f t="shared" si="56"/>
        <v/>
      </c>
      <c r="V379" s="198" t="str">
        <f t="shared" si="53"/>
        <v/>
      </c>
      <c r="W379" s="339" t="str">
        <f t="shared" si="57"/>
        <v/>
      </c>
      <c r="X379" s="341" t="str">
        <f t="shared" si="58"/>
        <v/>
      </c>
      <c r="Y379" s="277"/>
      <c r="AR379" t="str">
        <f t="shared" si="59"/>
        <v/>
      </c>
      <c r="AS379" t="str">
        <f t="shared" si="60"/>
        <v/>
      </c>
    </row>
    <row r="380" spans="1:45">
      <c r="A380" s="294"/>
      <c r="B380" s="295"/>
      <c r="C380" s="296"/>
      <c r="D380" s="296"/>
      <c r="E380" s="296"/>
      <c r="F380" s="296"/>
      <c r="G380" s="297"/>
      <c r="H380" s="303"/>
      <c r="I380" s="298"/>
      <c r="J380" s="298"/>
      <c r="K380" s="299"/>
      <c r="L380" s="304"/>
      <c r="M380" s="300"/>
      <c r="N380" s="301"/>
      <c r="P380" s="193" t="str">
        <f>IF(R380 = "", "", COUNT(R$4:$R380))</f>
        <v/>
      </c>
      <c r="Q380" s="193" t="str">
        <f t="shared" si="51"/>
        <v/>
      </c>
      <c r="R380" s="194" t="str">
        <f t="shared" si="52"/>
        <v/>
      </c>
      <c r="S380" s="195" t="str">
        <f t="shared" si="54"/>
        <v/>
      </c>
      <c r="T380" s="196" t="str">
        <f t="shared" si="55"/>
        <v/>
      </c>
      <c r="U380" s="197" t="str">
        <f t="shared" si="56"/>
        <v/>
      </c>
      <c r="V380" s="198" t="str">
        <f t="shared" si="53"/>
        <v/>
      </c>
      <c r="W380" s="339" t="str">
        <f t="shared" si="57"/>
        <v/>
      </c>
      <c r="X380" s="341" t="str">
        <f t="shared" si="58"/>
        <v/>
      </c>
      <c r="Y380" s="277"/>
      <c r="AR380" t="str">
        <f t="shared" si="59"/>
        <v/>
      </c>
      <c r="AS380" t="str">
        <f t="shared" si="60"/>
        <v/>
      </c>
    </row>
    <row r="381" spans="1:45">
      <c r="A381" s="294"/>
      <c r="B381" s="295"/>
      <c r="C381" s="296"/>
      <c r="D381" s="296"/>
      <c r="E381" s="296"/>
      <c r="F381" s="296"/>
      <c r="G381" s="297"/>
      <c r="H381" s="303"/>
      <c r="I381" s="298"/>
      <c r="J381" s="298"/>
      <c r="K381" s="299"/>
      <c r="L381" s="304"/>
      <c r="M381" s="300"/>
      <c r="N381" s="301"/>
      <c r="P381" s="193" t="str">
        <f>IF(R381 = "", "", COUNT(R$4:$R381))</f>
        <v/>
      </c>
      <c r="Q381" s="193" t="str">
        <f t="shared" si="51"/>
        <v/>
      </c>
      <c r="R381" s="194" t="str">
        <f t="shared" si="52"/>
        <v/>
      </c>
      <c r="S381" s="195" t="str">
        <f t="shared" si="54"/>
        <v/>
      </c>
      <c r="T381" s="196" t="str">
        <f t="shared" si="55"/>
        <v/>
      </c>
      <c r="U381" s="197" t="str">
        <f t="shared" si="56"/>
        <v/>
      </c>
      <c r="V381" s="198" t="str">
        <f t="shared" si="53"/>
        <v/>
      </c>
      <c r="W381" s="339" t="str">
        <f t="shared" si="57"/>
        <v/>
      </c>
      <c r="X381" s="341" t="str">
        <f t="shared" si="58"/>
        <v/>
      </c>
      <c r="Y381" s="277"/>
      <c r="AR381" t="str">
        <f t="shared" si="59"/>
        <v/>
      </c>
      <c r="AS381" t="str">
        <f t="shared" si="60"/>
        <v/>
      </c>
    </row>
    <row r="382" spans="1:45">
      <c r="A382" s="294"/>
      <c r="B382" s="295"/>
      <c r="C382" s="296"/>
      <c r="D382" s="296"/>
      <c r="E382" s="296"/>
      <c r="F382" s="296"/>
      <c r="G382" s="297"/>
      <c r="H382" s="303"/>
      <c r="I382" s="298"/>
      <c r="J382" s="298"/>
      <c r="K382" s="299"/>
      <c r="L382" s="304"/>
      <c r="M382" s="300"/>
      <c r="N382" s="301"/>
      <c r="P382" s="193" t="str">
        <f>IF(R382 = "", "", COUNT(R$4:$R382))</f>
        <v/>
      </c>
      <c r="Q382" s="193" t="str">
        <f t="shared" si="51"/>
        <v/>
      </c>
      <c r="R382" s="194" t="str">
        <f t="shared" si="52"/>
        <v/>
      </c>
      <c r="S382" s="195" t="str">
        <f t="shared" si="54"/>
        <v/>
      </c>
      <c r="T382" s="196" t="str">
        <f t="shared" si="55"/>
        <v/>
      </c>
      <c r="U382" s="197" t="str">
        <f t="shared" si="56"/>
        <v/>
      </c>
      <c r="V382" s="198" t="str">
        <f t="shared" si="53"/>
        <v/>
      </c>
      <c r="W382" s="339" t="str">
        <f t="shared" si="57"/>
        <v/>
      </c>
      <c r="X382" s="341" t="str">
        <f t="shared" si="58"/>
        <v/>
      </c>
      <c r="Y382" s="277"/>
      <c r="AR382" t="str">
        <f t="shared" si="59"/>
        <v/>
      </c>
      <c r="AS382" t="str">
        <f t="shared" si="60"/>
        <v/>
      </c>
    </row>
    <row r="383" spans="1:45">
      <c r="A383" s="294"/>
      <c r="B383" s="295"/>
      <c r="C383" s="296"/>
      <c r="D383" s="296"/>
      <c r="E383" s="296"/>
      <c r="F383" s="296"/>
      <c r="G383" s="297"/>
      <c r="H383" s="303"/>
      <c r="I383" s="298"/>
      <c r="J383" s="298"/>
      <c r="K383" s="299"/>
      <c r="L383" s="304"/>
      <c r="M383" s="300"/>
      <c r="N383" s="301"/>
      <c r="P383" s="193" t="str">
        <f>IF(R383 = "", "", COUNT(R$4:$R383))</f>
        <v/>
      </c>
      <c r="Q383" s="193" t="str">
        <f t="shared" si="51"/>
        <v/>
      </c>
      <c r="R383" s="194" t="str">
        <f t="shared" si="52"/>
        <v/>
      </c>
      <c r="S383" s="195" t="str">
        <f t="shared" si="54"/>
        <v/>
      </c>
      <c r="T383" s="196" t="str">
        <f t="shared" si="55"/>
        <v/>
      </c>
      <c r="U383" s="197" t="str">
        <f t="shared" si="56"/>
        <v/>
      </c>
      <c r="V383" s="198" t="str">
        <f t="shared" si="53"/>
        <v/>
      </c>
      <c r="W383" s="339" t="str">
        <f t="shared" si="57"/>
        <v/>
      </c>
      <c r="X383" s="341" t="str">
        <f t="shared" si="58"/>
        <v/>
      </c>
      <c r="Y383" s="277"/>
      <c r="AR383" t="str">
        <f t="shared" si="59"/>
        <v/>
      </c>
      <c r="AS383" t="str">
        <f t="shared" si="60"/>
        <v/>
      </c>
    </row>
    <row r="384" spans="1:45">
      <c r="A384" s="294"/>
      <c r="B384" s="295"/>
      <c r="C384" s="296"/>
      <c r="D384" s="296"/>
      <c r="E384" s="296"/>
      <c r="F384" s="296"/>
      <c r="G384" s="297"/>
      <c r="H384" s="303"/>
      <c r="I384" s="298"/>
      <c r="J384" s="298"/>
      <c r="K384" s="299"/>
      <c r="L384" s="304"/>
      <c r="M384" s="300"/>
      <c r="N384" s="301"/>
      <c r="P384" s="193" t="str">
        <f>IF(R384 = "", "", COUNT(R$4:$R384))</f>
        <v/>
      </c>
      <c r="Q384" s="193" t="str">
        <f t="shared" si="51"/>
        <v/>
      </c>
      <c r="R384" s="194" t="str">
        <f t="shared" si="52"/>
        <v/>
      </c>
      <c r="S384" s="195" t="str">
        <f t="shared" si="54"/>
        <v/>
      </c>
      <c r="T384" s="196" t="str">
        <f t="shared" si="55"/>
        <v/>
      </c>
      <c r="U384" s="197" t="str">
        <f t="shared" si="56"/>
        <v/>
      </c>
      <c r="V384" s="198" t="str">
        <f t="shared" si="53"/>
        <v/>
      </c>
      <c r="W384" s="339" t="str">
        <f t="shared" si="57"/>
        <v/>
      </c>
      <c r="X384" s="341" t="str">
        <f t="shared" si="58"/>
        <v/>
      </c>
      <c r="Y384" s="277"/>
      <c r="AR384" t="str">
        <f t="shared" si="59"/>
        <v/>
      </c>
      <c r="AS384" t="str">
        <f t="shared" si="60"/>
        <v/>
      </c>
    </row>
    <row r="385" spans="1:45">
      <c r="A385" s="294"/>
      <c r="B385" s="295"/>
      <c r="C385" s="296"/>
      <c r="D385" s="296"/>
      <c r="E385" s="296"/>
      <c r="F385" s="296"/>
      <c r="G385" s="297"/>
      <c r="H385" s="303"/>
      <c r="I385" s="298"/>
      <c r="J385" s="298"/>
      <c r="K385" s="299"/>
      <c r="L385" s="304"/>
      <c r="M385" s="300"/>
      <c r="N385" s="301"/>
      <c r="P385" s="193" t="str">
        <f>IF(R385 = "", "", COUNT(R$4:$R385))</f>
        <v/>
      </c>
      <c r="Q385" s="193" t="str">
        <f t="shared" si="51"/>
        <v/>
      </c>
      <c r="R385" s="194" t="str">
        <f t="shared" si="52"/>
        <v/>
      </c>
      <c r="S385" s="195" t="str">
        <f t="shared" si="54"/>
        <v/>
      </c>
      <c r="T385" s="196" t="str">
        <f t="shared" si="55"/>
        <v/>
      </c>
      <c r="U385" s="197" t="str">
        <f t="shared" si="56"/>
        <v/>
      </c>
      <c r="V385" s="198" t="str">
        <f t="shared" si="53"/>
        <v/>
      </c>
      <c r="W385" s="339" t="str">
        <f t="shared" si="57"/>
        <v/>
      </c>
      <c r="X385" s="341" t="str">
        <f t="shared" si="58"/>
        <v/>
      </c>
      <c r="Y385" s="277"/>
      <c r="AR385" t="str">
        <f t="shared" si="59"/>
        <v/>
      </c>
      <c r="AS385" t="str">
        <f t="shared" si="60"/>
        <v/>
      </c>
    </row>
    <row r="386" spans="1:45">
      <c r="A386" s="294"/>
      <c r="B386" s="295"/>
      <c r="C386" s="296"/>
      <c r="D386" s="296"/>
      <c r="E386" s="296"/>
      <c r="F386" s="296"/>
      <c r="G386" s="297"/>
      <c r="H386" s="303"/>
      <c r="I386" s="298"/>
      <c r="J386" s="298"/>
      <c r="K386" s="299"/>
      <c r="L386" s="304"/>
      <c r="M386" s="300"/>
      <c r="N386" s="301"/>
      <c r="P386" s="193" t="str">
        <f>IF(R386 = "", "", COUNT(R$4:$R386))</f>
        <v/>
      </c>
      <c r="Q386" s="193" t="str">
        <f t="shared" si="51"/>
        <v/>
      </c>
      <c r="R386" s="194" t="str">
        <f t="shared" si="52"/>
        <v/>
      </c>
      <c r="S386" s="195" t="str">
        <f t="shared" si="54"/>
        <v/>
      </c>
      <c r="T386" s="196" t="str">
        <f t="shared" si="55"/>
        <v/>
      </c>
      <c r="U386" s="197" t="str">
        <f t="shared" si="56"/>
        <v/>
      </c>
      <c r="V386" s="198" t="str">
        <f t="shared" si="53"/>
        <v/>
      </c>
      <c r="W386" s="339" t="str">
        <f t="shared" si="57"/>
        <v/>
      </c>
      <c r="X386" s="341" t="str">
        <f t="shared" si="58"/>
        <v/>
      </c>
      <c r="Y386" s="277"/>
      <c r="AR386" t="str">
        <f t="shared" si="59"/>
        <v/>
      </c>
      <c r="AS386" t="str">
        <f t="shared" si="60"/>
        <v/>
      </c>
    </row>
    <row r="387" spans="1:45">
      <c r="A387" s="294"/>
      <c r="B387" s="295"/>
      <c r="C387" s="296"/>
      <c r="D387" s="296"/>
      <c r="E387" s="296"/>
      <c r="F387" s="296"/>
      <c r="G387" s="297"/>
      <c r="H387" s="303"/>
      <c r="I387" s="298"/>
      <c r="J387" s="298"/>
      <c r="K387" s="299"/>
      <c r="L387" s="304"/>
      <c r="M387" s="300"/>
      <c r="N387" s="301"/>
      <c r="P387" s="193" t="str">
        <f>IF(R387 = "", "", COUNT(R$4:$R387))</f>
        <v/>
      </c>
      <c r="Q387" s="193" t="str">
        <f t="shared" si="51"/>
        <v/>
      </c>
      <c r="R387" s="194" t="str">
        <f t="shared" si="52"/>
        <v/>
      </c>
      <c r="S387" s="195" t="str">
        <f t="shared" si="54"/>
        <v/>
      </c>
      <c r="T387" s="196" t="str">
        <f t="shared" si="55"/>
        <v/>
      </c>
      <c r="U387" s="197" t="str">
        <f t="shared" si="56"/>
        <v/>
      </c>
      <c r="V387" s="198" t="str">
        <f t="shared" si="53"/>
        <v/>
      </c>
      <c r="W387" s="339" t="str">
        <f t="shared" si="57"/>
        <v/>
      </c>
      <c r="X387" s="341" t="str">
        <f t="shared" si="58"/>
        <v/>
      </c>
      <c r="Y387" s="277"/>
      <c r="AR387" t="str">
        <f t="shared" si="59"/>
        <v/>
      </c>
      <c r="AS387" t="str">
        <f t="shared" si="60"/>
        <v/>
      </c>
    </row>
    <row r="388" spans="1:45">
      <c r="A388" s="294"/>
      <c r="B388" s="295"/>
      <c r="C388" s="296"/>
      <c r="D388" s="296"/>
      <c r="E388" s="296"/>
      <c r="F388" s="296"/>
      <c r="G388" s="297"/>
      <c r="H388" s="303"/>
      <c r="I388" s="298"/>
      <c r="J388" s="298"/>
      <c r="K388" s="299"/>
      <c r="L388" s="304"/>
      <c r="M388" s="300"/>
      <c r="N388" s="301"/>
      <c r="P388" s="193" t="str">
        <f>IF(R388 = "", "", COUNT(R$4:$R388))</f>
        <v/>
      </c>
      <c r="Q388" s="193" t="str">
        <f t="shared" ref="Q388:Q451" si="61">IF(C388 &gt; 0, YEAR(B388), "")</f>
        <v/>
      </c>
      <c r="R388" s="194" t="str">
        <f t="shared" ref="R388:R451" si="62">IF(A388="", "", IF(G388="",1,IF(G388="O",1,IF(G388="C",8.4,IF(G388="B",8.4,IF(G388="A",76.8,IF(G388="K",76.8,"ERR")))))))</f>
        <v/>
      </c>
      <c r="S388" s="195" t="str">
        <f t="shared" si="54"/>
        <v/>
      </c>
      <c r="T388" s="196" t="str">
        <f t="shared" si="55"/>
        <v/>
      </c>
      <c r="U388" s="197" t="str">
        <f t="shared" si="56"/>
        <v/>
      </c>
      <c r="V388" s="198" t="str">
        <f t="shared" ref="V388:V451" si="63">IF(IF(M388&lt;&gt;"",G388,"")=0, "O", IF(M388&lt;&gt;"",G388,""))</f>
        <v/>
      </c>
      <c r="W388" s="339" t="str">
        <f t="shared" si="57"/>
        <v/>
      </c>
      <c r="X388" s="341" t="str">
        <f t="shared" si="58"/>
        <v/>
      </c>
      <c r="Y388" s="277"/>
      <c r="AR388" t="str">
        <f t="shared" si="59"/>
        <v/>
      </c>
      <c r="AS388" t="str">
        <f t="shared" si="60"/>
        <v/>
      </c>
    </row>
    <row r="389" spans="1:45">
      <c r="A389" s="294"/>
      <c r="B389" s="295"/>
      <c r="C389" s="296"/>
      <c r="D389" s="296"/>
      <c r="E389" s="296"/>
      <c r="F389" s="296"/>
      <c r="G389" s="297"/>
      <c r="H389" s="303"/>
      <c r="I389" s="298"/>
      <c r="J389" s="298"/>
      <c r="K389" s="299"/>
      <c r="L389" s="304"/>
      <c r="M389" s="300"/>
      <c r="N389" s="301"/>
      <c r="P389" s="193" t="str">
        <f>IF(R389 = "", "", COUNT(R$4:$R389))</f>
        <v/>
      </c>
      <c r="Q389" s="193" t="str">
        <f t="shared" si="61"/>
        <v/>
      </c>
      <c r="R389" s="194" t="str">
        <f t="shared" si="62"/>
        <v/>
      </c>
      <c r="S389" s="195" t="str">
        <f t="shared" ref="S389:S452" si="64">IF(L389&lt;&gt;"",R389,"")</f>
        <v/>
      </c>
      <c r="T389" s="196" t="str">
        <f t="shared" ref="T389:T452" si="65">IF(IF(L389&lt;&gt;"",G389,"")=0, "O", IF(L389&lt;&gt;"",G389,""))</f>
        <v/>
      </c>
      <c r="U389" s="197" t="str">
        <f t="shared" ref="U389:U452" si="66">IF(M389&lt;&gt;"",R389,"")</f>
        <v/>
      </c>
      <c r="V389" s="198" t="str">
        <f t="shared" si="63"/>
        <v/>
      </c>
      <c r="W389" s="339" t="str">
        <f t="shared" ref="W389:W452" si="67">IF(N389&lt;&gt;"",R389,"")</f>
        <v/>
      </c>
      <c r="X389" s="341" t="str">
        <f t="shared" ref="X389:X452" si="68">IF(IF(N389&lt;&gt;"",G389,"")=0, "O", IF(N389&lt;&gt;"",G389,""))</f>
        <v/>
      </c>
      <c r="Y389" s="277"/>
      <c r="AR389" t="str">
        <f t="shared" ref="AR389:AR452" si="69">IF(P389&gt;0, P389, "")</f>
        <v/>
      </c>
      <c r="AS389" t="str">
        <f t="shared" ref="AS389:AS452" si="70">IF(OR(L389="Y",M389="Y",N389="Y"),"Y","")</f>
        <v/>
      </c>
    </row>
    <row r="390" spans="1:45">
      <c r="A390" s="294"/>
      <c r="B390" s="295"/>
      <c r="C390" s="296"/>
      <c r="D390" s="296"/>
      <c r="E390" s="296"/>
      <c r="F390" s="296"/>
      <c r="G390" s="297"/>
      <c r="H390" s="303"/>
      <c r="I390" s="298"/>
      <c r="J390" s="298"/>
      <c r="K390" s="299"/>
      <c r="L390" s="304"/>
      <c r="M390" s="300"/>
      <c r="N390" s="301"/>
      <c r="P390" s="193" t="str">
        <f>IF(R390 = "", "", COUNT(R$4:$R390))</f>
        <v/>
      </c>
      <c r="Q390" s="193" t="str">
        <f t="shared" si="61"/>
        <v/>
      </c>
      <c r="R390" s="194" t="str">
        <f t="shared" si="62"/>
        <v/>
      </c>
      <c r="S390" s="195" t="str">
        <f t="shared" si="64"/>
        <v/>
      </c>
      <c r="T390" s="196" t="str">
        <f t="shared" si="65"/>
        <v/>
      </c>
      <c r="U390" s="197" t="str">
        <f t="shared" si="66"/>
        <v/>
      </c>
      <c r="V390" s="198" t="str">
        <f t="shared" si="63"/>
        <v/>
      </c>
      <c r="W390" s="339" t="str">
        <f t="shared" si="67"/>
        <v/>
      </c>
      <c r="X390" s="341" t="str">
        <f t="shared" si="68"/>
        <v/>
      </c>
      <c r="Y390" s="277"/>
      <c r="AR390" t="str">
        <f t="shared" si="69"/>
        <v/>
      </c>
      <c r="AS390" t="str">
        <f t="shared" si="70"/>
        <v/>
      </c>
    </row>
    <row r="391" spans="1:45">
      <c r="A391" s="294"/>
      <c r="B391" s="295"/>
      <c r="C391" s="296"/>
      <c r="D391" s="296"/>
      <c r="E391" s="296"/>
      <c r="F391" s="296"/>
      <c r="G391" s="297"/>
      <c r="H391" s="303"/>
      <c r="I391" s="298"/>
      <c r="J391" s="298"/>
      <c r="K391" s="299"/>
      <c r="L391" s="304"/>
      <c r="M391" s="300"/>
      <c r="N391" s="301"/>
      <c r="P391" s="193" t="str">
        <f>IF(R391 = "", "", COUNT(R$4:$R391))</f>
        <v/>
      </c>
      <c r="Q391" s="193" t="str">
        <f t="shared" si="61"/>
        <v/>
      </c>
      <c r="R391" s="194" t="str">
        <f t="shared" si="62"/>
        <v/>
      </c>
      <c r="S391" s="195" t="str">
        <f t="shared" si="64"/>
        <v/>
      </c>
      <c r="T391" s="196" t="str">
        <f t="shared" si="65"/>
        <v/>
      </c>
      <c r="U391" s="197" t="str">
        <f t="shared" si="66"/>
        <v/>
      </c>
      <c r="V391" s="198" t="str">
        <f t="shared" si="63"/>
        <v/>
      </c>
      <c r="W391" s="339" t="str">
        <f t="shared" si="67"/>
        <v/>
      </c>
      <c r="X391" s="341" t="str">
        <f t="shared" si="68"/>
        <v/>
      </c>
      <c r="Y391" s="277"/>
      <c r="AR391" t="str">
        <f t="shared" si="69"/>
        <v/>
      </c>
      <c r="AS391" t="str">
        <f t="shared" si="70"/>
        <v/>
      </c>
    </row>
    <row r="392" spans="1:45">
      <c r="A392" s="294"/>
      <c r="B392" s="295"/>
      <c r="C392" s="296"/>
      <c r="D392" s="296"/>
      <c r="E392" s="296"/>
      <c r="F392" s="296"/>
      <c r="G392" s="297"/>
      <c r="H392" s="303"/>
      <c r="I392" s="298"/>
      <c r="J392" s="298"/>
      <c r="K392" s="299"/>
      <c r="L392" s="304"/>
      <c r="M392" s="300"/>
      <c r="N392" s="301"/>
      <c r="P392" s="193" t="str">
        <f>IF(R392 = "", "", COUNT(R$4:$R392))</f>
        <v/>
      </c>
      <c r="Q392" s="193" t="str">
        <f t="shared" si="61"/>
        <v/>
      </c>
      <c r="R392" s="194" t="str">
        <f t="shared" si="62"/>
        <v/>
      </c>
      <c r="S392" s="195" t="str">
        <f t="shared" si="64"/>
        <v/>
      </c>
      <c r="T392" s="196" t="str">
        <f t="shared" si="65"/>
        <v/>
      </c>
      <c r="U392" s="197" t="str">
        <f t="shared" si="66"/>
        <v/>
      </c>
      <c r="V392" s="198" t="str">
        <f t="shared" si="63"/>
        <v/>
      </c>
      <c r="W392" s="339" t="str">
        <f t="shared" si="67"/>
        <v/>
      </c>
      <c r="X392" s="341" t="str">
        <f t="shared" si="68"/>
        <v/>
      </c>
      <c r="Y392" s="277"/>
      <c r="AR392" t="str">
        <f t="shared" si="69"/>
        <v/>
      </c>
      <c r="AS392" t="str">
        <f t="shared" si="70"/>
        <v/>
      </c>
    </row>
    <row r="393" spans="1:45">
      <c r="A393" s="294"/>
      <c r="B393" s="295"/>
      <c r="C393" s="296"/>
      <c r="D393" s="296"/>
      <c r="E393" s="296"/>
      <c r="F393" s="296"/>
      <c r="G393" s="297"/>
      <c r="H393" s="303"/>
      <c r="I393" s="298"/>
      <c r="J393" s="298"/>
      <c r="K393" s="299"/>
      <c r="L393" s="304"/>
      <c r="M393" s="300"/>
      <c r="N393" s="301"/>
      <c r="P393" s="193" t="str">
        <f>IF(R393 = "", "", COUNT(R$4:$R393))</f>
        <v/>
      </c>
      <c r="Q393" s="193" t="str">
        <f t="shared" si="61"/>
        <v/>
      </c>
      <c r="R393" s="194" t="str">
        <f t="shared" si="62"/>
        <v/>
      </c>
      <c r="S393" s="195" t="str">
        <f t="shared" si="64"/>
        <v/>
      </c>
      <c r="T393" s="196" t="str">
        <f t="shared" si="65"/>
        <v/>
      </c>
      <c r="U393" s="197" t="str">
        <f t="shared" si="66"/>
        <v/>
      </c>
      <c r="V393" s="198" t="str">
        <f t="shared" si="63"/>
        <v/>
      </c>
      <c r="W393" s="339" t="str">
        <f t="shared" si="67"/>
        <v/>
      </c>
      <c r="X393" s="341" t="str">
        <f t="shared" si="68"/>
        <v/>
      </c>
      <c r="Y393" s="277"/>
      <c r="AR393" t="str">
        <f t="shared" si="69"/>
        <v/>
      </c>
      <c r="AS393" t="str">
        <f t="shared" si="70"/>
        <v/>
      </c>
    </row>
    <row r="394" spans="1:45">
      <c r="A394" s="294"/>
      <c r="B394" s="295"/>
      <c r="C394" s="296"/>
      <c r="D394" s="296"/>
      <c r="E394" s="296"/>
      <c r="F394" s="296"/>
      <c r="G394" s="297"/>
      <c r="H394" s="303"/>
      <c r="I394" s="298"/>
      <c r="J394" s="298"/>
      <c r="K394" s="299"/>
      <c r="L394" s="304"/>
      <c r="M394" s="300"/>
      <c r="N394" s="301"/>
      <c r="P394" s="193" t="str">
        <f>IF(R394 = "", "", COUNT(R$4:$R394))</f>
        <v/>
      </c>
      <c r="Q394" s="193" t="str">
        <f t="shared" si="61"/>
        <v/>
      </c>
      <c r="R394" s="194" t="str">
        <f t="shared" si="62"/>
        <v/>
      </c>
      <c r="S394" s="195" t="str">
        <f t="shared" si="64"/>
        <v/>
      </c>
      <c r="T394" s="196" t="str">
        <f t="shared" si="65"/>
        <v/>
      </c>
      <c r="U394" s="197" t="str">
        <f t="shared" si="66"/>
        <v/>
      </c>
      <c r="V394" s="198" t="str">
        <f t="shared" si="63"/>
        <v/>
      </c>
      <c r="W394" s="339" t="str">
        <f t="shared" si="67"/>
        <v/>
      </c>
      <c r="X394" s="341" t="str">
        <f t="shared" si="68"/>
        <v/>
      </c>
      <c r="Y394" s="277"/>
      <c r="AR394" t="str">
        <f t="shared" si="69"/>
        <v/>
      </c>
      <c r="AS394" t="str">
        <f t="shared" si="70"/>
        <v/>
      </c>
    </row>
    <row r="395" spans="1:45">
      <c r="A395" s="294"/>
      <c r="B395" s="295"/>
      <c r="C395" s="296"/>
      <c r="D395" s="296"/>
      <c r="E395" s="296"/>
      <c r="F395" s="296"/>
      <c r="G395" s="297"/>
      <c r="H395" s="303"/>
      <c r="I395" s="298"/>
      <c r="J395" s="298"/>
      <c r="K395" s="299"/>
      <c r="L395" s="304"/>
      <c r="M395" s="300"/>
      <c r="N395" s="301"/>
      <c r="P395" s="193" t="str">
        <f>IF(R395 = "", "", COUNT(R$4:$R395))</f>
        <v/>
      </c>
      <c r="Q395" s="193" t="str">
        <f t="shared" si="61"/>
        <v/>
      </c>
      <c r="R395" s="194" t="str">
        <f t="shared" si="62"/>
        <v/>
      </c>
      <c r="S395" s="195" t="str">
        <f t="shared" si="64"/>
        <v/>
      </c>
      <c r="T395" s="196" t="str">
        <f t="shared" si="65"/>
        <v/>
      </c>
      <c r="U395" s="197" t="str">
        <f t="shared" si="66"/>
        <v/>
      </c>
      <c r="V395" s="198" t="str">
        <f t="shared" si="63"/>
        <v/>
      </c>
      <c r="W395" s="339" t="str">
        <f t="shared" si="67"/>
        <v/>
      </c>
      <c r="X395" s="341" t="str">
        <f t="shared" si="68"/>
        <v/>
      </c>
      <c r="Y395" s="277"/>
      <c r="AR395" t="str">
        <f t="shared" si="69"/>
        <v/>
      </c>
      <c r="AS395" t="str">
        <f t="shared" si="70"/>
        <v/>
      </c>
    </row>
    <row r="396" spans="1:45">
      <c r="A396" s="294"/>
      <c r="B396" s="295"/>
      <c r="C396" s="296"/>
      <c r="D396" s="296"/>
      <c r="E396" s="296"/>
      <c r="F396" s="296"/>
      <c r="G396" s="297"/>
      <c r="H396" s="303"/>
      <c r="I396" s="298"/>
      <c r="J396" s="298"/>
      <c r="K396" s="299"/>
      <c r="L396" s="304"/>
      <c r="M396" s="300"/>
      <c r="N396" s="301"/>
      <c r="P396" s="193" t="str">
        <f>IF(R396 = "", "", COUNT(R$4:$R396))</f>
        <v/>
      </c>
      <c r="Q396" s="193" t="str">
        <f t="shared" si="61"/>
        <v/>
      </c>
      <c r="R396" s="194" t="str">
        <f t="shared" si="62"/>
        <v/>
      </c>
      <c r="S396" s="195" t="str">
        <f t="shared" si="64"/>
        <v/>
      </c>
      <c r="T396" s="196" t="str">
        <f t="shared" si="65"/>
        <v/>
      </c>
      <c r="U396" s="197" t="str">
        <f t="shared" si="66"/>
        <v/>
      </c>
      <c r="V396" s="198" t="str">
        <f t="shared" si="63"/>
        <v/>
      </c>
      <c r="W396" s="339" t="str">
        <f t="shared" si="67"/>
        <v/>
      </c>
      <c r="X396" s="341" t="str">
        <f t="shared" si="68"/>
        <v/>
      </c>
      <c r="Y396" s="277"/>
      <c r="AR396" t="str">
        <f t="shared" si="69"/>
        <v/>
      </c>
      <c r="AS396" t="str">
        <f t="shared" si="70"/>
        <v/>
      </c>
    </row>
    <row r="397" spans="1:45">
      <c r="A397" s="294"/>
      <c r="B397" s="295"/>
      <c r="C397" s="296"/>
      <c r="D397" s="296"/>
      <c r="E397" s="296"/>
      <c r="F397" s="296"/>
      <c r="G397" s="297"/>
      <c r="H397" s="303"/>
      <c r="I397" s="298"/>
      <c r="J397" s="298"/>
      <c r="K397" s="299"/>
      <c r="L397" s="304"/>
      <c r="M397" s="300"/>
      <c r="N397" s="301"/>
      <c r="P397" s="193" t="str">
        <f>IF(R397 = "", "", COUNT(R$4:$R397))</f>
        <v/>
      </c>
      <c r="Q397" s="193" t="str">
        <f t="shared" si="61"/>
        <v/>
      </c>
      <c r="R397" s="194" t="str">
        <f t="shared" si="62"/>
        <v/>
      </c>
      <c r="S397" s="195" t="str">
        <f t="shared" si="64"/>
        <v/>
      </c>
      <c r="T397" s="196" t="str">
        <f t="shared" si="65"/>
        <v/>
      </c>
      <c r="U397" s="197" t="str">
        <f t="shared" si="66"/>
        <v/>
      </c>
      <c r="V397" s="198" t="str">
        <f t="shared" si="63"/>
        <v/>
      </c>
      <c r="W397" s="339" t="str">
        <f t="shared" si="67"/>
        <v/>
      </c>
      <c r="X397" s="341" t="str">
        <f t="shared" si="68"/>
        <v/>
      </c>
      <c r="Y397" s="277"/>
      <c r="AR397" t="str">
        <f t="shared" si="69"/>
        <v/>
      </c>
      <c r="AS397" t="str">
        <f t="shared" si="70"/>
        <v/>
      </c>
    </row>
    <row r="398" spans="1:45">
      <c r="A398" s="294"/>
      <c r="B398" s="295"/>
      <c r="C398" s="296"/>
      <c r="D398" s="296"/>
      <c r="E398" s="296"/>
      <c r="F398" s="296"/>
      <c r="G398" s="297"/>
      <c r="H398" s="303"/>
      <c r="I398" s="298"/>
      <c r="J398" s="298"/>
      <c r="K398" s="299"/>
      <c r="L398" s="304"/>
      <c r="M398" s="300"/>
      <c r="N398" s="301"/>
      <c r="P398" s="193" t="str">
        <f>IF(R398 = "", "", COUNT(R$4:$R398))</f>
        <v/>
      </c>
      <c r="Q398" s="193" t="str">
        <f t="shared" si="61"/>
        <v/>
      </c>
      <c r="R398" s="194" t="str">
        <f t="shared" si="62"/>
        <v/>
      </c>
      <c r="S398" s="195" t="str">
        <f t="shared" si="64"/>
        <v/>
      </c>
      <c r="T398" s="196" t="str">
        <f t="shared" si="65"/>
        <v/>
      </c>
      <c r="U398" s="197" t="str">
        <f t="shared" si="66"/>
        <v/>
      </c>
      <c r="V398" s="198" t="str">
        <f t="shared" si="63"/>
        <v/>
      </c>
      <c r="W398" s="339" t="str">
        <f t="shared" si="67"/>
        <v/>
      </c>
      <c r="X398" s="341" t="str">
        <f t="shared" si="68"/>
        <v/>
      </c>
      <c r="Y398" s="277"/>
      <c r="AR398" t="str">
        <f t="shared" si="69"/>
        <v/>
      </c>
      <c r="AS398" t="str">
        <f t="shared" si="70"/>
        <v/>
      </c>
    </row>
    <row r="399" spans="1:45">
      <c r="A399" s="294"/>
      <c r="B399" s="295"/>
      <c r="C399" s="296"/>
      <c r="D399" s="296"/>
      <c r="E399" s="296"/>
      <c r="F399" s="296"/>
      <c r="G399" s="297"/>
      <c r="H399" s="303"/>
      <c r="I399" s="298"/>
      <c r="J399" s="298"/>
      <c r="K399" s="299"/>
      <c r="L399" s="304"/>
      <c r="M399" s="300"/>
      <c r="N399" s="301"/>
      <c r="P399" s="193" t="str">
        <f>IF(R399 = "", "", COUNT(R$4:$R399))</f>
        <v/>
      </c>
      <c r="Q399" s="193" t="str">
        <f t="shared" si="61"/>
        <v/>
      </c>
      <c r="R399" s="194" t="str">
        <f t="shared" si="62"/>
        <v/>
      </c>
      <c r="S399" s="195" t="str">
        <f t="shared" si="64"/>
        <v/>
      </c>
      <c r="T399" s="196" t="str">
        <f t="shared" si="65"/>
        <v/>
      </c>
      <c r="U399" s="197" t="str">
        <f t="shared" si="66"/>
        <v/>
      </c>
      <c r="V399" s="198" t="str">
        <f t="shared" si="63"/>
        <v/>
      </c>
      <c r="W399" s="339" t="str">
        <f t="shared" si="67"/>
        <v/>
      </c>
      <c r="X399" s="341" t="str">
        <f t="shared" si="68"/>
        <v/>
      </c>
      <c r="Y399" s="277"/>
      <c r="AR399" t="str">
        <f t="shared" si="69"/>
        <v/>
      </c>
      <c r="AS399" t="str">
        <f t="shared" si="70"/>
        <v/>
      </c>
    </row>
    <row r="400" spans="1:45">
      <c r="A400" s="294"/>
      <c r="B400" s="295"/>
      <c r="C400" s="296"/>
      <c r="D400" s="296"/>
      <c r="E400" s="296"/>
      <c r="F400" s="296"/>
      <c r="G400" s="297"/>
      <c r="H400" s="303"/>
      <c r="I400" s="298"/>
      <c r="J400" s="298"/>
      <c r="K400" s="299"/>
      <c r="L400" s="304"/>
      <c r="M400" s="300"/>
      <c r="N400" s="301"/>
      <c r="P400" s="193" t="str">
        <f>IF(R400 = "", "", COUNT(R$4:$R400))</f>
        <v/>
      </c>
      <c r="Q400" s="193" t="str">
        <f t="shared" si="61"/>
        <v/>
      </c>
      <c r="R400" s="194" t="str">
        <f t="shared" si="62"/>
        <v/>
      </c>
      <c r="S400" s="195" t="str">
        <f t="shared" si="64"/>
        <v/>
      </c>
      <c r="T400" s="196" t="str">
        <f t="shared" si="65"/>
        <v/>
      </c>
      <c r="U400" s="197" t="str">
        <f t="shared" si="66"/>
        <v/>
      </c>
      <c r="V400" s="198" t="str">
        <f t="shared" si="63"/>
        <v/>
      </c>
      <c r="W400" s="339" t="str">
        <f t="shared" si="67"/>
        <v/>
      </c>
      <c r="X400" s="341" t="str">
        <f t="shared" si="68"/>
        <v/>
      </c>
      <c r="Y400" s="277"/>
      <c r="AR400" t="str">
        <f t="shared" si="69"/>
        <v/>
      </c>
      <c r="AS400" t="str">
        <f t="shared" si="70"/>
        <v/>
      </c>
    </row>
    <row r="401" spans="1:45">
      <c r="A401" s="294"/>
      <c r="B401" s="295"/>
      <c r="C401" s="296"/>
      <c r="D401" s="296"/>
      <c r="E401" s="296"/>
      <c r="F401" s="296"/>
      <c r="G401" s="297"/>
      <c r="H401" s="303"/>
      <c r="I401" s="298"/>
      <c r="J401" s="298"/>
      <c r="K401" s="299"/>
      <c r="L401" s="304"/>
      <c r="M401" s="300"/>
      <c r="N401" s="301"/>
      <c r="P401" s="193" t="str">
        <f>IF(R401 = "", "", COUNT(R$4:$R401))</f>
        <v/>
      </c>
      <c r="Q401" s="193" t="str">
        <f t="shared" si="61"/>
        <v/>
      </c>
      <c r="R401" s="194" t="str">
        <f t="shared" si="62"/>
        <v/>
      </c>
      <c r="S401" s="195" t="str">
        <f t="shared" si="64"/>
        <v/>
      </c>
      <c r="T401" s="196" t="str">
        <f t="shared" si="65"/>
        <v/>
      </c>
      <c r="U401" s="197" t="str">
        <f t="shared" si="66"/>
        <v/>
      </c>
      <c r="V401" s="198" t="str">
        <f t="shared" si="63"/>
        <v/>
      </c>
      <c r="W401" s="339" t="str">
        <f t="shared" si="67"/>
        <v/>
      </c>
      <c r="X401" s="341" t="str">
        <f t="shared" si="68"/>
        <v/>
      </c>
      <c r="Y401" s="277"/>
      <c r="AR401" t="str">
        <f t="shared" si="69"/>
        <v/>
      </c>
      <c r="AS401" t="str">
        <f t="shared" si="70"/>
        <v/>
      </c>
    </row>
    <row r="402" spans="1:45">
      <c r="A402" s="294"/>
      <c r="B402" s="295"/>
      <c r="C402" s="296"/>
      <c r="D402" s="296"/>
      <c r="E402" s="296"/>
      <c r="F402" s="296"/>
      <c r="G402" s="297"/>
      <c r="H402" s="303"/>
      <c r="I402" s="298"/>
      <c r="J402" s="298"/>
      <c r="K402" s="299"/>
      <c r="L402" s="304"/>
      <c r="M402" s="300"/>
      <c r="N402" s="301"/>
      <c r="P402" s="193" t="str">
        <f>IF(R402 = "", "", COUNT(R$4:$R402))</f>
        <v/>
      </c>
      <c r="Q402" s="193" t="str">
        <f t="shared" si="61"/>
        <v/>
      </c>
      <c r="R402" s="194" t="str">
        <f t="shared" si="62"/>
        <v/>
      </c>
      <c r="S402" s="195" t="str">
        <f t="shared" si="64"/>
        <v/>
      </c>
      <c r="T402" s="196" t="str">
        <f t="shared" si="65"/>
        <v/>
      </c>
      <c r="U402" s="197" t="str">
        <f t="shared" si="66"/>
        <v/>
      </c>
      <c r="V402" s="198" t="str">
        <f t="shared" si="63"/>
        <v/>
      </c>
      <c r="W402" s="339" t="str">
        <f t="shared" si="67"/>
        <v/>
      </c>
      <c r="X402" s="341" t="str">
        <f t="shared" si="68"/>
        <v/>
      </c>
      <c r="Y402" s="277"/>
      <c r="AR402" t="str">
        <f t="shared" si="69"/>
        <v/>
      </c>
      <c r="AS402" t="str">
        <f t="shared" si="70"/>
        <v/>
      </c>
    </row>
    <row r="403" spans="1:45">
      <c r="A403" s="294"/>
      <c r="B403" s="295"/>
      <c r="C403" s="296"/>
      <c r="D403" s="296"/>
      <c r="E403" s="296"/>
      <c r="F403" s="296"/>
      <c r="G403" s="297"/>
      <c r="H403" s="303"/>
      <c r="I403" s="298"/>
      <c r="J403" s="298"/>
      <c r="K403" s="299"/>
      <c r="L403" s="304"/>
      <c r="M403" s="300"/>
      <c r="N403" s="301"/>
      <c r="P403" s="193" t="str">
        <f>IF(R403 = "", "", COUNT(R$4:$R403))</f>
        <v/>
      </c>
      <c r="Q403" s="193" t="str">
        <f t="shared" si="61"/>
        <v/>
      </c>
      <c r="R403" s="194" t="str">
        <f t="shared" si="62"/>
        <v/>
      </c>
      <c r="S403" s="195" t="str">
        <f t="shared" si="64"/>
        <v/>
      </c>
      <c r="T403" s="196" t="str">
        <f t="shared" si="65"/>
        <v/>
      </c>
      <c r="U403" s="197" t="str">
        <f t="shared" si="66"/>
        <v/>
      </c>
      <c r="V403" s="198" t="str">
        <f t="shared" si="63"/>
        <v/>
      </c>
      <c r="W403" s="339" t="str">
        <f t="shared" si="67"/>
        <v/>
      </c>
      <c r="X403" s="341" t="str">
        <f t="shared" si="68"/>
        <v/>
      </c>
      <c r="Y403" s="277"/>
      <c r="AR403" t="str">
        <f t="shared" si="69"/>
        <v/>
      </c>
      <c r="AS403" t="str">
        <f t="shared" si="70"/>
        <v/>
      </c>
    </row>
    <row r="404" spans="1:45">
      <c r="A404" s="294"/>
      <c r="B404" s="295"/>
      <c r="C404" s="296"/>
      <c r="D404" s="296"/>
      <c r="E404" s="296"/>
      <c r="F404" s="296"/>
      <c r="G404" s="297"/>
      <c r="H404" s="303"/>
      <c r="I404" s="298"/>
      <c r="J404" s="298"/>
      <c r="K404" s="299"/>
      <c r="L404" s="304"/>
      <c r="M404" s="300"/>
      <c r="N404" s="301"/>
      <c r="P404" s="193" t="str">
        <f>IF(R404 = "", "", COUNT(R$4:$R404))</f>
        <v/>
      </c>
      <c r="Q404" s="193" t="str">
        <f t="shared" si="61"/>
        <v/>
      </c>
      <c r="R404" s="194" t="str">
        <f t="shared" si="62"/>
        <v/>
      </c>
      <c r="S404" s="195" t="str">
        <f t="shared" si="64"/>
        <v/>
      </c>
      <c r="T404" s="196" t="str">
        <f t="shared" si="65"/>
        <v/>
      </c>
      <c r="U404" s="197" t="str">
        <f t="shared" si="66"/>
        <v/>
      </c>
      <c r="V404" s="198" t="str">
        <f t="shared" si="63"/>
        <v/>
      </c>
      <c r="W404" s="339" t="str">
        <f t="shared" si="67"/>
        <v/>
      </c>
      <c r="X404" s="341" t="str">
        <f t="shared" si="68"/>
        <v/>
      </c>
      <c r="Y404" s="277"/>
      <c r="AR404" t="str">
        <f t="shared" si="69"/>
        <v/>
      </c>
      <c r="AS404" t="str">
        <f t="shared" si="70"/>
        <v/>
      </c>
    </row>
    <row r="405" spans="1:45">
      <c r="A405" s="294"/>
      <c r="B405" s="295"/>
      <c r="C405" s="296"/>
      <c r="D405" s="296"/>
      <c r="E405" s="296"/>
      <c r="F405" s="296"/>
      <c r="G405" s="297"/>
      <c r="H405" s="303"/>
      <c r="I405" s="298"/>
      <c r="J405" s="298"/>
      <c r="K405" s="299"/>
      <c r="L405" s="304"/>
      <c r="M405" s="300"/>
      <c r="N405" s="301"/>
      <c r="P405" s="193" t="str">
        <f>IF(R405 = "", "", COUNT(R$4:$R405))</f>
        <v/>
      </c>
      <c r="Q405" s="193" t="str">
        <f t="shared" si="61"/>
        <v/>
      </c>
      <c r="R405" s="194" t="str">
        <f t="shared" si="62"/>
        <v/>
      </c>
      <c r="S405" s="195" t="str">
        <f t="shared" si="64"/>
        <v/>
      </c>
      <c r="T405" s="196" t="str">
        <f t="shared" si="65"/>
        <v/>
      </c>
      <c r="U405" s="197" t="str">
        <f t="shared" si="66"/>
        <v/>
      </c>
      <c r="V405" s="198" t="str">
        <f t="shared" si="63"/>
        <v/>
      </c>
      <c r="W405" s="339" t="str">
        <f t="shared" si="67"/>
        <v/>
      </c>
      <c r="X405" s="341" t="str">
        <f t="shared" si="68"/>
        <v/>
      </c>
      <c r="Y405" s="277"/>
      <c r="AR405" t="str">
        <f t="shared" si="69"/>
        <v/>
      </c>
      <c r="AS405" t="str">
        <f t="shared" si="70"/>
        <v/>
      </c>
    </row>
    <row r="406" spans="1:45">
      <c r="A406" s="294"/>
      <c r="B406" s="295"/>
      <c r="C406" s="296"/>
      <c r="D406" s="296"/>
      <c r="E406" s="296"/>
      <c r="F406" s="296"/>
      <c r="G406" s="297"/>
      <c r="H406" s="303"/>
      <c r="I406" s="298"/>
      <c r="J406" s="298"/>
      <c r="K406" s="299"/>
      <c r="L406" s="304"/>
      <c r="M406" s="300"/>
      <c r="N406" s="301"/>
      <c r="P406" s="193" t="str">
        <f>IF(R406 = "", "", COUNT(R$4:$R406))</f>
        <v/>
      </c>
      <c r="Q406" s="193" t="str">
        <f t="shared" si="61"/>
        <v/>
      </c>
      <c r="R406" s="194" t="str">
        <f t="shared" si="62"/>
        <v/>
      </c>
      <c r="S406" s="195" t="str">
        <f t="shared" si="64"/>
        <v/>
      </c>
      <c r="T406" s="196" t="str">
        <f t="shared" si="65"/>
        <v/>
      </c>
      <c r="U406" s="197" t="str">
        <f t="shared" si="66"/>
        <v/>
      </c>
      <c r="V406" s="198" t="str">
        <f t="shared" si="63"/>
        <v/>
      </c>
      <c r="W406" s="339" t="str">
        <f t="shared" si="67"/>
        <v/>
      </c>
      <c r="X406" s="341" t="str">
        <f t="shared" si="68"/>
        <v/>
      </c>
      <c r="Y406" s="277"/>
      <c r="AR406" t="str">
        <f t="shared" si="69"/>
        <v/>
      </c>
      <c r="AS406" t="str">
        <f t="shared" si="70"/>
        <v/>
      </c>
    </row>
    <row r="407" spans="1:45">
      <c r="A407" s="294"/>
      <c r="B407" s="295"/>
      <c r="C407" s="296"/>
      <c r="D407" s="296"/>
      <c r="E407" s="296"/>
      <c r="F407" s="296"/>
      <c r="G407" s="297"/>
      <c r="H407" s="303"/>
      <c r="I407" s="298"/>
      <c r="J407" s="298"/>
      <c r="K407" s="299"/>
      <c r="L407" s="304"/>
      <c r="M407" s="300"/>
      <c r="N407" s="301"/>
      <c r="P407" s="193" t="str">
        <f>IF(R407 = "", "", COUNT(R$4:$R407))</f>
        <v/>
      </c>
      <c r="Q407" s="193" t="str">
        <f t="shared" si="61"/>
        <v/>
      </c>
      <c r="R407" s="194" t="str">
        <f t="shared" si="62"/>
        <v/>
      </c>
      <c r="S407" s="195" t="str">
        <f t="shared" si="64"/>
        <v/>
      </c>
      <c r="T407" s="196" t="str">
        <f t="shared" si="65"/>
        <v/>
      </c>
      <c r="U407" s="197" t="str">
        <f t="shared" si="66"/>
        <v/>
      </c>
      <c r="V407" s="198" t="str">
        <f t="shared" si="63"/>
        <v/>
      </c>
      <c r="W407" s="339" t="str">
        <f t="shared" si="67"/>
        <v/>
      </c>
      <c r="X407" s="341" t="str">
        <f t="shared" si="68"/>
        <v/>
      </c>
      <c r="Y407" s="277"/>
      <c r="AR407" t="str">
        <f t="shared" si="69"/>
        <v/>
      </c>
      <c r="AS407" t="str">
        <f t="shared" si="70"/>
        <v/>
      </c>
    </row>
    <row r="408" spans="1:45">
      <c r="A408" s="294"/>
      <c r="B408" s="295"/>
      <c r="C408" s="296"/>
      <c r="D408" s="296"/>
      <c r="E408" s="296"/>
      <c r="F408" s="296"/>
      <c r="G408" s="297"/>
      <c r="H408" s="303"/>
      <c r="I408" s="298"/>
      <c r="J408" s="298"/>
      <c r="K408" s="299"/>
      <c r="L408" s="304"/>
      <c r="M408" s="300"/>
      <c r="N408" s="301"/>
      <c r="P408" s="193" t="str">
        <f>IF(R408 = "", "", COUNT(R$4:$R408))</f>
        <v/>
      </c>
      <c r="Q408" s="193" t="str">
        <f t="shared" si="61"/>
        <v/>
      </c>
      <c r="R408" s="194" t="str">
        <f t="shared" si="62"/>
        <v/>
      </c>
      <c r="S408" s="195" t="str">
        <f t="shared" si="64"/>
        <v/>
      </c>
      <c r="T408" s="196" t="str">
        <f t="shared" si="65"/>
        <v/>
      </c>
      <c r="U408" s="197" t="str">
        <f t="shared" si="66"/>
        <v/>
      </c>
      <c r="V408" s="198" t="str">
        <f t="shared" si="63"/>
        <v/>
      </c>
      <c r="W408" s="339" t="str">
        <f t="shared" si="67"/>
        <v/>
      </c>
      <c r="X408" s="341" t="str">
        <f t="shared" si="68"/>
        <v/>
      </c>
      <c r="Y408" s="277"/>
      <c r="AR408" t="str">
        <f t="shared" si="69"/>
        <v/>
      </c>
      <c r="AS408" t="str">
        <f t="shared" si="70"/>
        <v/>
      </c>
    </row>
    <row r="409" spans="1:45">
      <c r="A409" s="294"/>
      <c r="B409" s="295"/>
      <c r="C409" s="296"/>
      <c r="D409" s="296"/>
      <c r="E409" s="296"/>
      <c r="F409" s="296"/>
      <c r="G409" s="297"/>
      <c r="H409" s="303"/>
      <c r="I409" s="298"/>
      <c r="J409" s="298"/>
      <c r="K409" s="299"/>
      <c r="L409" s="304"/>
      <c r="M409" s="300"/>
      <c r="N409" s="301"/>
      <c r="P409" s="193" t="str">
        <f>IF(R409 = "", "", COUNT(R$4:$R409))</f>
        <v/>
      </c>
      <c r="Q409" s="193" t="str">
        <f t="shared" si="61"/>
        <v/>
      </c>
      <c r="R409" s="194" t="str">
        <f t="shared" si="62"/>
        <v/>
      </c>
      <c r="S409" s="195" t="str">
        <f t="shared" si="64"/>
        <v/>
      </c>
      <c r="T409" s="196" t="str">
        <f t="shared" si="65"/>
        <v/>
      </c>
      <c r="U409" s="197" t="str">
        <f t="shared" si="66"/>
        <v/>
      </c>
      <c r="V409" s="198" t="str">
        <f t="shared" si="63"/>
        <v/>
      </c>
      <c r="W409" s="339" t="str">
        <f t="shared" si="67"/>
        <v/>
      </c>
      <c r="X409" s="341" t="str">
        <f t="shared" si="68"/>
        <v/>
      </c>
      <c r="Y409" s="277"/>
      <c r="AR409" t="str">
        <f t="shared" si="69"/>
        <v/>
      </c>
      <c r="AS409" t="str">
        <f t="shared" si="70"/>
        <v/>
      </c>
    </row>
    <row r="410" spans="1:45">
      <c r="A410" s="294"/>
      <c r="B410" s="295"/>
      <c r="C410" s="296"/>
      <c r="D410" s="296"/>
      <c r="E410" s="296"/>
      <c r="F410" s="296"/>
      <c r="G410" s="297"/>
      <c r="H410" s="303"/>
      <c r="I410" s="298"/>
      <c r="J410" s="298"/>
      <c r="K410" s="299"/>
      <c r="L410" s="304"/>
      <c r="M410" s="300"/>
      <c r="N410" s="301"/>
      <c r="P410" s="193" t="str">
        <f>IF(R410 = "", "", COUNT(R$4:$R410))</f>
        <v/>
      </c>
      <c r="Q410" s="193" t="str">
        <f t="shared" si="61"/>
        <v/>
      </c>
      <c r="R410" s="194" t="str">
        <f t="shared" si="62"/>
        <v/>
      </c>
      <c r="S410" s="195" t="str">
        <f t="shared" si="64"/>
        <v/>
      </c>
      <c r="T410" s="196" t="str">
        <f t="shared" si="65"/>
        <v/>
      </c>
      <c r="U410" s="197" t="str">
        <f t="shared" si="66"/>
        <v/>
      </c>
      <c r="V410" s="198" t="str">
        <f t="shared" si="63"/>
        <v/>
      </c>
      <c r="W410" s="339" t="str">
        <f t="shared" si="67"/>
        <v/>
      </c>
      <c r="X410" s="341" t="str">
        <f t="shared" si="68"/>
        <v/>
      </c>
      <c r="Y410" s="277"/>
      <c r="AR410" t="str">
        <f t="shared" si="69"/>
        <v/>
      </c>
      <c r="AS410" t="str">
        <f t="shared" si="70"/>
        <v/>
      </c>
    </row>
    <row r="411" spans="1:45">
      <c r="A411" s="294"/>
      <c r="B411" s="295"/>
      <c r="C411" s="296"/>
      <c r="D411" s="296"/>
      <c r="E411" s="296"/>
      <c r="F411" s="296"/>
      <c r="G411" s="297"/>
      <c r="H411" s="303"/>
      <c r="I411" s="298"/>
      <c r="J411" s="298"/>
      <c r="K411" s="299"/>
      <c r="L411" s="304"/>
      <c r="M411" s="300"/>
      <c r="N411" s="301"/>
      <c r="P411" s="193" t="str">
        <f>IF(R411 = "", "", COUNT(R$4:$R411))</f>
        <v/>
      </c>
      <c r="Q411" s="193" t="str">
        <f t="shared" si="61"/>
        <v/>
      </c>
      <c r="R411" s="194" t="str">
        <f t="shared" si="62"/>
        <v/>
      </c>
      <c r="S411" s="195" t="str">
        <f t="shared" si="64"/>
        <v/>
      </c>
      <c r="T411" s="196" t="str">
        <f t="shared" si="65"/>
        <v/>
      </c>
      <c r="U411" s="197" t="str">
        <f t="shared" si="66"/>
        <v/>
      </c>
      <c r="V411" s="198" t="str">
        <f t="shared" si="63"/>
        <v/>
      </c>
      <c r="W411" s="339" t="str">
        <f t="shared" si="67"/>
        <v/>
      </c>
      <c r="X411" s="341" t="str">
        <f t="shared" si="68"/>
        <v/>
      </c>
      <c r="Y411" s="277"/>
      <c r="AR411" t="str">
        <f t="shared" si="69"/>
        <v/>
      </c>
      <c r="AS411" t="str">
        <f t="shared" si="70"/>
        <v/>
      </c>
    </row>
    <row r="412" spans="1:45">
      <c r="A412" s="294"/>
      <c r="B412" s="295"/>
      <c r="C412" s="296"/>
      <c r="D412" s="296"/>
      <c r="E412" s="296"/>
      <c r="F412" s="296"/>
      <c r="G412" s="297"/>
      <c r="H412" s="303"/>
      <c r="I412" s="298"/>
      <c r="J412" s="298"/>
      <c r="K412" s="299"/>
      <c r="L412" s="304"/>
      <c r="M412" s="300"/>
      <c r="N412" s="301"/>
      <c r="P412" s="193" t="str">
        <f>IF(R412 = "", "", COUNT(R$4:$R412))</f>
        <v/>
      </c>
      <c r="Q412" s="193" t="str">
        <f t="shared" si="61"/>
        <v/>
      </c>
      <c r="R412" s="194" t="str">
        <f t="shared" si="62"/>
        <v/>
      </c>
      <c r="S412" s="195" t="str">
        <f t="shared" si="64"/>
        <v/>
      </c>
      <c r="T412" s="196" t="str">
        <f t="shared" si="65"/>
        <v/>
      </c>
      <c r="U412" s="197" t="str">
        <f t="shared" si="66"/>
        <v/>
      </c>
      <c r="V412" s="198" t="str">
        <f t="shared" si="63"/>
        <v/>
      </c>
      <c r="W412" s="339" t="str">
        <f t="shared" si="67"/>
        <v/>
      </c>
      <c r="X412" s="341" t="str">
        <f t="shared" si="68"/>
        <v/>
      </c>
      <c r="Y412" s="277"/>
      <c r="AR412" t="str">
        <f t="shared" si="69"/>
        <v/>
      </c>
      <c r="AS412" t="str">
        <f t="shared" si="70"/>
        <v/>
      </c>
    </row>
    <row r="413" spans="1:45">
      <c r="A413" s="294"/>
      <c r="B413" s="295"/>
      <c r="C413" s="296"/>
      <c r="D413" s="296"/>
      <c r="E413" s="296"/>
      <c r="F413" s="296"/>
      <c r="G413" s="297"/>
      <c r="H413" s="303"/>
      <c r="I413" s="298"/>
      <c r="J413" s="298"/>
      <c r="K413" s="299"/>
      <c r="L413" s="304"/>
      <c r="M413" s="300"/>
      <c r="N413" s="301"/>
      <c r="P413" s="193" t="str">
        <f>IF(R413 = "", "", COUNT(R$4:$R413))</f>
        <v/>
      </c>
      <c r="Q413" s="193" t="str">
        <f t="shared" si="61"/>
        <v/>
      </c>
      <c r="R413" s="194" t="str">
        <f t="shared" si="62"/>
        <v/>
      </c>
      <c r="S413" s="195" t="str">
        <f t="shared" si="64"/>
        <v/>
      </c>
      <c r="T413" s="196" t="str">
        <f t="shared" si="65"/>
        <v/>
      </c>
      <c r="U413" s="197" t="str">
        <f t="shared" si="66"/>
        <v/>
      </c>
      <c r="V413" s="198" t="str">
        <f t="shared" si="63"/>
        <v/>
      </c>
      <c r="W413" s="339" t="str">
        <f t="shared" si="67"/>
        <v/>
      </c>
      <c r="X413" s="341" t="str">
        <f t="shared" si="68"/>
        <v/>
      </c>
      <c r="Y413" s="277"/>
      <c r="AR413" t="str">
        <f t="shared" si="69"/>
        <v/>
      </c>
      <c r="AS413" t="str">
        <f t="shared" si="70"/>
        <v/>
      </c>
    </row>
    <row r="414" spans="1:45">
      <c r="A414" s="294"/>
      <c r="B414" s="295"/>
      <c r="C414" s="296"/>
      <c r="D414" s="296"/>
      <c r="E414" s="296"/>
      <c r="F414" s="296"/>
      <c r="G414" s="297"/>
      <c r="H414" s="303"/>
      <c r="I414" s="298"/>
      <c r="J414" s="298"/>
      <c r="K414" s="299"/>
      <c r="L414" s="304"/>
      <c r="M414" s="300"/>
      <c r="N414" s="301"/>
      <c r="P414" s="193" t="str">
        <f>IF(R414 = "", "", COUNT(R$4:$R414))</f>
        <v/>
      </c>
      <c r="Q414" s="193" t="str">
        <f t="shared" si="61"/>
        <v/>
      </c>
      <c r="R414" s="194" t="str">
        <f t="shared" si="62"/>
        <v/>
      </c>
      <c r="S414" s="195" t="str">
        <f t="shared" si="64"/>
        <v/>
      </c>
      <c r="T414" s="196" t="str">
        <f t="shared" si="65"/>
        <v/>
      </c>
      <c r="U414" s="197" t="str">
        <f t="shared" si="66"/>
        <v/>
      </c>
      <c r="V414" s="198" t="str">
        <f t="shared" si="63"/>
        <v/>
      </c>
      <c r="W414" s="339" t="str">
        <f t="shared" si="67"/>
        <v/>
      </c>
      <c r="X414" s="341" t="str">
        <f t="shared" si="68"/>
        <v/>
      </c>
      <c r="Y414" s="277"/>
      <c r="AR414" t="str">
        <f t="shared" si="69"/>
        <v/>
      </c>
      <c r="AS414" t="str">
        <f t="shared" si="70"/>
        <v/>
      </c>
    </row>
    <row r="415" spans="1:45">
      <c r="A415" s="294"/>
      <c r="B415" s="295"/>
      <c r="C415" s="296"/>
      <c r="D415" s="296"/>
      <c r="E415" s="296"/>
      <c r="F415" s="296"/>
      <c r="G415" s="297"/>
      <c r="H415" s="303"/>
      <c r="I415" s="298"/>
      <c r="J415" s="298"/>
      <c r="K415" s="299"/>
      <c r="L415" s="304"/>
      <c r="M415" s="300"/>
      <c r="N415" s="301"/>
      <c r="P415" s="193" t="str">
        <f>IF(R415 = "", "", COUNT(R$4:$R415))</f>
        <v/>
      </c>
      <c r="Q415" s="193" t="str">
        <f t="shared" si="61"/>
        <v/>
      </c>
      <c r="R415" s="194" t="str">
        <f t="shared" si="62"/>
        <v/>
      </c>
      <c r="S415" s="195" t="str">
        <f t="shared" si="64"/>
        <v/>
      </c>
      <c r="T415" s="196" t="str">
        <f t="shared" si="65"/>
        <v/>
      </c>
      <c r="U415" s="197" t="str">
        <f t="shared" si="66"/>
        <v/>
      </c>
      <c r="V415" s="198" t="str">
        <f t="shared" si="63"/>
        <v/>
      </c>
      <c r="W415" s="339" t="str">
        <f t="shared" si="67"/>
        <v/>
      </c>
      <c r="X415" s="341" t="str">
        <f t="shared" si="68"/>
        <v/>
      </c>
      <c r="Y415" s="277"/>
      <c r="AR415" t="str">
        <f t="shared" si="69"/>
        <v/>
      </c>
      <c r="AS415" t="str">
        <f t="shared" si="70"/>
        <v/>
      </c>
    </row>
    <row r="416" spans="1:45">
      <c r="A416" s="294"/>
      <c r="B416" s="295"/>
      <c r="C416" s="296"/>
      <c r="D416" s="296"/>
      <c r="E416" s="296"/>
      <c r="F416" s="296"/>
      <c r="G416" s="297"/>
      <c r="H416" s="303"/>
      <c r="I416" s="298"/>
      <c r="J416" s="298"/>
      <c r="K416" s="299"/>
      <c r="L416" s="304"/>
      <c r="M416" s="300"/>
      <c r="N416" s="301"/>
      <c r="P416" s="193" t="str">
        <f>IF(R416 = "", "", COUNT(R$4:$R416))</f>
        <v/>
      </c>
      <c r="Q416" s="193" t="str">
        <f t="shared" si="61"/>
        <v/>
      </c>
      <c r="R416" s="194" t="str">
        <f t="shared" si="62"/>
        <v/>
      </c>
      <c r="S416" s="195" t="str">
        <f t="shared" si="64"/>
        <v/>
      </c>
      <c r="T416" s="196" t="str">
        <f t="shared" si="65"/>
        <v/>
      </c>
      <c r="U416" s="197" t="str">
        <f t="shared" si="66"/>
        <v/>
      </c>
      <c r="V416" s="198" t="str">
        <f t="shared" si="63"/>
        <v/>
      </c>
      <c r="W416" s="339" t="str">
        <f t="shared" si="67"/>
        <v/>
      </c>
      <c r="X416" s="341" t="str">
        <f t="shared" si="68"/>
        <v/>
      </c>
      <c r="Y416" s="277"/>
      <c r="AR416" t="str">
        <f t="shared" si="69"/>
        <v/>
      </c>
      <c r="AS416" t="str">
        <f t="shared" si="70"/>
        <v/>
      </c>
    </row>
    <row r="417" spans="1:45">
      <c r="A417" s="294"/>
      <c r="B417" s="295"/>
      <c r="C417" s="296"/>
      <c r="D417" s="296"/>
      <c r="E417" s="296"/>
      <c r="F417" s="296"/>
      <c r="G417" s="297"/>
      <c r="H417" s="303"/>
      <c r="I417" s="298"/>
      <c r="J417" s="298"/>
      <c r="K417" s="299"/>
      <c r="L417" s="304"/>
      <c r="M417" s="300"/>
      <c r="N417" s="301"/>
      <c r="P417" s="193" t="str">
        <f>IF(R417 = "", "", COUNT(R$4:$R417))</f>
        <v/>
      </c>
      <c r="Q417" s="193" t="str">
        <f t="shared" si="61"/>
        <v/>
      </c>
      <c r="R417" s="194" t="str">
        <f t="shared" si="62"/>
        <v/>
      </c>
      <c r="S417" s="195" t="str">
        <f t="shared" si="64"/>
        <v/>
      </c>
      <c r="T417" s="196" t="str">
        <f t="shared" si="65"/>
        <v/>
      </c>
      <c r="U417" s="197" t="str">
        <f t="shared" si="66"/>
        <v/>
      </c>
      <c r="V417" s="198" t="str">
        <f t="shared" si="63"/>
        <v/>
      </c>
      <c r="W417" s="339" t="str">
        <f t="shared" si="67"/>
        <v/>
      </c>
      <c r="X417" s="341" t="str">
        <f t="shared" si="68"/>
        <v/>
      </c>
      <c r="Y417" s="277"/>
      <c r="AR417" t="str">
        <f t="shared" si="69"/>
        <v/>
      </c>
      <c r="AS417" t="str">
        <f t="shared" si="70"/>
        <v/>
      </c>
    </row>
    <row r="418" spans="1:45">
      <c r="A418" s="294"/>
      <c r="B418" s="295"/>
      <c r="C418" s="296"/>
      <c r="D418" s="296"/>
      <c r="E418" s="296"/>
      <c r="F418" s="296"/>
      <c r="G418" s="297"/>
      <c r="H418" s="303"/>
      <c r="I418" s="298"/>
      <c r="J418" s="298"/>
      <c r="K418" s="299"/>
      <c r="L418" s="304"/>
      <c r="M418" s="300"/>
      <c r="N418" s="301"/>
      <c r="P418" s="193" t="str">
        <f>IF(R418 = "", "", COUNT(R$4:$R418))</f>
        <v/>
      </c>
      <c r="Q418" s="193" t="str">
        <f t="shared" si="61"/>
        <v/>
      </c>
      <c r="R418" s="194" t="str">
        <f t="shared" si="62"/>
        <v/>
      </c>
      <c r="S418" s="195" t="str">
        <f t="shared" si="64"/>
        <v/>
      </c>
      <c r="T418" s="196" t="str">
        <f t="shared" si="65"/>
        <v/>
      </c>
      <c r="U418" s="197" t="str">
        <f t="shared" si="66"/>
        <v/>
      </c>
      <c r="V418" s="198" t="str">
        <f t="shared" si="63"/>
        <v/>
      </c>
      <c r="W418" s="339" t="str">
        <f t="shared" si="67"/>
        <v/>
      </c>
      <c r="X418" s="341" t="str">
        <f t="shared" si="68"/>
        <v/>
      </c>
      <c r="Y418" s="277"/>
      <c r="AR418" t="str">
        <f t="shared" si="69"/>
        <v/>
      </c>
      <c r="AS418" t="str">
        <f t="shared" si="70"/>
        <v/>
      </c>
    </row>
    <row r="419" spans="1:45">
      <c r="A419" s="294"/>
      <c r="B419" s="295"/>
      <c r="C419" s="296"/>
      <c r="D419" s="296"/>
      <c r="E419" s="296"/>
      <c r="F419" s="296"/>
      <c r="G419" s="297"/>
      <c r="H419" s="303"/>
      <c r="I419" s="298"/>
      <c r="J419" s="298"/>
      <c r="K419" s="299"/>
      <c r="L419" s="304"/>
      <c r="M419" s="300"/>
      <c r="N419" s="301"/>
      <c r="P419" s="193" t="str">
        <f>IF(R419 = "", "", COUNT(R$4:$R419))</f>
        <v/>
      </c>
      <c r="Q419" s="193" t="str">
        <f t="shared" si="61"/>
        <v/>
      </c>
      <c r="R419" s="194" t="str">
        <f t="shared" si="62"/>
        <v/>
      </c>
      <c r="S419" s="195" t="str">
        <f t="shared" si="64"/>
        <v/>
      </c>
      <c r="T419" s="196" t="str">
        <f t="shared" si="65"/>
        <v/>
      </c>
      <c r="U419" s="197" t="str">
        <f t="shared" si="66"/>
        <v/>
      </c>
      <c r="V419" s="198" t="str">
        <f t="shared" si="63"/>
        <v/>
      </c>
      <c r="W419" s="339" t="str">
        <f t="shared" si="67"/>
        <v/>
      </c>
      <c r="X419" s="341" t="str">
        <f t="shared" si="68"/>
        <v/>
      </c>
      <c r="Y419" s="277"/>
      <c r="AR419" t="str">
        <f t="shared" si="69"/>
        <v/>
      </c>
      <c r="AS419" t="str">
        <f t="shared" si="70"/>
        <v/>
      </c>
    </row>
    <row r="420" spans="1:45">
      <c r="A420" s="294"/>
      <c r="B420" s="295"/>
      <c r="C420" s="296"/>
      <c r="D420" s="296"/>
      <c r="E420" s="296"/>
      <c r="F420" s="296"/>
      <c r="G420" s="297"/>
      <c r="H420" s="303"/>
      <c r="I420" s="298"/>
      <c r="J420" s="298"/>
      <c r="K420" s="299"/>
      <c r="L420" s="304"/>
      <c r="M420" s="300"/>
      <c r="N420" s="301"/>
      <c r="P420" s="193" t="str">
        <f>IF(R420 = "", "", COUNT(R$4:$R420))</f>
        <v/>
      </c>
      <c r="Q420" s="193" t="str">
        <f t="shared" si="61"/>
        <v/>
      </c>
      <c r="R420" s="194" t="str">
        <f t="shared" si="62"/>
        <v/>
      </c>
      <c r="S420" s="195" t="str">
        <f t="shared" si="64"/>
        <v/>
      </c>
      <c r="T420" s="196" t="str">
        <f t="shared" si="65"/>
        <v/>
      </c>
      <c r="U420" s="197" t="str">
        <f t="shared" si="66"/>
        <v/>
      </c>
      <c r="V420" s="198" t="str">
        <f t="shared" si="63"/>
        <v/>
      </c>
      <c r="W420" s="339" t="str">
        <f t="shared" si="67"/>
        <v/>
      </c>
      <c r="X420" s="341" t="str">
        <f t="shared" si="68"/>
        <v/>
      </c>
      <c r="Y420" s="277"/>
      <c r="AR420" t="str">
        <f t="shared" si="69"/>
        <v/>
      </c>
      <c r="AS420" t="str">
        <f t="shared" si="70"/>
        <v/>
      </c>
    </row>
    <row r="421" spans="1:45">
      <c r="A421" s="294"/>
      <c r="B421" s="295"/>
      <c r="C421" s="296"/>
      <c r="D421" s="296"/>
      <c r="E421" s="296"/>
      <c r="F421" s="296"/>
      <c r="G421" s="297"/>
      <c r="H421" s="303"/>
      <c r="I421" s="298"/>
      <c r="J421" s="298"/>
      <c r="K421" s="299"/>
      <c r="L421" s="304"/>
      <c r="M421" s="300"/>
      <c r="N421" s="301"/>
      <c r="P421" s="193" t="str">
        <f>IF(R421 = "", "", COUNT(R$4:$R421))</f>
        <v/>
      </c>
      <c r="Q421" s="193" t="str">
        <f t="shared" si="61"/>
        <v/>
      </c>
      <c r="R421" s="194" t="str">
        <f t="shared" si="62"/>
        <v/>
      </c>
      <c r="S421" s="195" t="str">
        <f t="shared" si="64"/>
        <v/>
      </c>
      <c r="T421" s="196" t="str">
        <f t="shared" si="65"/>
        <v/>
      </c>
      <c r="U421" s="197" t="str">
        <f t="shared" si="66"/>
        <v/>
      </c>
      <c r="V421" s="198" t="str">
        <f t="shared" si="63"/>
        <v/>
      </c>
      <c r="W421" s="339" t="str">
        <f t="shared" si="67"/>
        <v/>
      </c>
      <c r="X421" s="341" t="str">
        <f t="shared" si="68"/>
        <v/>
      </c>
      <c r="Y421" s="277"/>
      <c r="AR421" t="str">
        <f t="shared" si="69"/>
        <v/>
      </c>
      <c r="AS421" t="str">
        <f t="shared" si="70"/>
        <v/>
      </c>
    </row>
    <row r="422" spans="1:45">
      <c r="A422" s="294"/>
      <c r="B422" s="295"/>
      <c r="C422" s="296"/>
      <c r="D422" s="296"/>
      <c r="E422" s="296"/>
      <c r="F422" s="296"/>
      <c r="G422" s="297"/>
      <c r="H422" s="303"/>
      <c r="I422" s="298"/>
      <c r="J422" s="298"/>
      <c r="K422" s="299"/>
      <c r="L422" s="304"/>
      <c r="M422" s="300"/>
      <c r="N422" s="301"/>
      <c r="P422" s="193" t="str">
        <f>IF(R422 = "", "", COUNT(R$4:$R422))</f>
        <v/>
      </c>
      <c r="Q422" s="193" t="str">
        <f t="shared" si="61"/>
        <v/>
      </c>
      <c r="R422" s="194" t="str">
        <f t="shared" si="62"/>
        <v/>
      </c>
      <c r="S422" s="195" t="str">
        <f t="shared" si="64"/>
        <v/>
      </c>
      <c r="T422" s="196" t="str">
        <f t="shared" si="65"/>
        <v/>
      </c>
      <c r="U422" s="197" t="str">
        <f t="shared" si="66"/>
        <v/>
      </c>
      <c r="V422" s="198" t="str">
        <f t="shared" si="63"/>
        <v/>
      </c>
      <c r="W422" s="339" t="str">
        <f t="shared" si="67"/>
        <v/>
      </c>
      <c r="X422" s="341" t="str">
        <f t="shared" si="68"/>
        <v/>
      </c>
      <c r="Y422" s="277"/>
      <c r="AR422" t="str">
        <f t="shared" si="69"/>
        <v/>
      </c>
      <c r="AS422" t="str">
        <f t="shared" si="70"/>
        <v/>
      </c>
    </row>
    <row r="423" spans="1:45">
      <c r="A423" s="294"/>
      <c r="B423" s="295"/>
      <c r="C423" s="296"/>
      <c r="D423" s="296"/>
      <c r="E423" s="296"/>
      <c r="F423" s="296"/>
      <c r="G423" s="297"/>
      <c r="H423" s="303"/>
      <c r="I423" s="298"/>
      <c r="J423" s="298"/>
      <c r="K423" s="299"/>
      <c r="L423" s="304"/>
      <c r="M423" s="300"/>
      <c r="N423" s="301"/>
      <c r="P423" s="193" t="str">
        <f>IF(R423 = "", "", COUNT(R$4:$R423))</f>
        <v/>
      </c>
      <c r="Q423" s="193" t="str">
        <f t="shared" si="61"/>
        <v/>
      </c>
      <c r="R423" s="194" t="str">
        <f t="shared" si="62"/>
        <v/>
      </c>
      <c r="S423" s="195" t="str">
        <f t="shared" si="64"/>
        <v/>
      </c>
      <c r="T423" s="196" t="str">
        <f t="shared" si="65"/>
        <v/>
      </c>
      <c r="U423" s="197" t="str">
        <f t="shared" si="66"/>
        <v/>
      </c>
      <c r="V423" s="198" t="str">
        <f t="shared" si="63"/>
        <v/>
      </c>
      <c r="W423" s="339" t="str">
        <f t="shared" si="67"/>
        <v/>
      </c>
      <c r="X423" s="341" t="str">
        <f t="shared" si="68"/>
        <v/>
      </c>
      <c r="Y423" s="277"/>
      <c r="AR423" t="str">
        <f t="shared" si="69"/>
        <v/>
      </c>
      <c r="AS423" t="str">
        <f t="shared" si="70"/>
        <v/>
      </c>
    </row>
    <row r="424" spans="1:45">
      <c r="A424" s="294"/>
      <c r="B424" s="295"/>
      <c r="C424" s="296"/>
      <c r="D424" s="296"/>
      <c r="E424" s="296"/>
      <c r="F424" s="296"/>
      <c r="G424" s="297"/>
      <c r="H424" s="303"/>
      <c r="I424" s="298"/>
      <c r="J424" s="298"/>
      <c r="K424" s="299"/>
      <c r="L424" s="304"/>
      <c r="M424" s="300"/>
      <c r="N424" s="301"/>
      <c r="P424" s="193" t="str">
        <f>IF(R424 = "", "", COUNT(R$4:$R424))</f>
        <v/>
      </c>
      <c r="Q424" s="193" t="str">
        <f t="shared" si="61"/>
        <v/>
      </c>
      <c r="R424" s="194" t="str">
        <f t="shared" si="62"/>
        <v/>
      </c>
      <c r="S424" s="195" t="str">
        <f t="shared" si="64"/>
        <v/>
      </c>
      <c r="T424" s="196" t="str">
        <f t="shared" si="65"/>
        <v/>
      </c>
      <c r="U424" s="197" t="str">
        <f t="shared" si="66"/>
        <v/>
      </c>
      <c r="V424" s="198" t="str">
        <f t="shared" si="63"/>
        <v/>
      </c>
      <c r="W424" s="339" t="str">
        <f t="shared" si="67"/>
        <v/>
      </c>
      <c r="X424" s="341" t="str">
        <f t="shared" si="68"/>
        <v/>
      </c>
      <c r="Y424" s="277"/>
      <c r="AR424" t="str">
        <f t="shared" si="69"/>
        <v/>
      </c>
      <c r="AS424" t="str">
        <f t="shared" si="70"/>
        <v/>
      </c>
    </row>
    <row r="425" spans="1:45">
      <c r="A425" s="294"/>
      <c r="B425" s="295"/>
      <c r="C425" s="296"/>
      <c r="D425" s="296"/>
      <c r="E425" s="296"/>
      <c r="F425" s="296"/>
      <c r="G425" s="297"/>
      <c r="H425" s="303"/>
      <c r="I425" s="298"/>
      <c r="J425" s="298"/>
      <c r="K425" s="299"/>
      <c r="L425" s="304"/>
      <c r="M425" s="300"/>
      <c r="N425" s="301"/>
      <c r="P425" s="193" t="str">
        <f>IF(R425 = "", "", COUNT(R$4:$R425))</f>
        <v/>
      </c>
      <c r="Q425" s="193" t="str">
        <f t="shared" si="61"/>
        <v/>
      </c>
      <c r="R425" s="194" t="str">
        <f t="shared" si="62"/>
        <v/>
      </c>
      <c r="S425" s="195" t="str">
        <f t="shared" si="64"/>
        <v/>
      </c>
      <c r="T425" s="196" t="str">
        <f t="shared" si="65"/>
        <v/>
      </c>
      <c r="U425" s="197" t="str">
        <f t="shared" si="66"/>
        <v/>
      </c>
      <c r="V425" s="198" t="str">
        <f t="shared" si="63"/>
        <v/>
      </c>
      <c r="W425" s="339" t="str">
        <f t="shared" si="67"/>
        <v/>
      </c>
      <c r="X425" s="341" t="str">
        <f t="shared" si="68"/>
        <v/>
      </c>
      <c r="Y425" s="277"/>
      <c r="AR425" t="str">
        <f t="shared" si="69"/>
        <v/>
      </c>
      <c r="AS425" t="str">
        <f t="shared" si="70"/>
        <v/>
      </c>
    </row>
    <row r="426" spans="1:45">
      <c r="A426" s="294"/>
      <c r="B426" s="295"/>
      <c r="C426" s="296"/>
      <c r="D426" s="296"/>
      <c r="E426" s="296"/>
      <c r="F426" s="296"/>
      <c r="G426" s="297"/>
      <c r="H426" s="303"/>
      <c r="I426" s="298"/>
      <c r="J426" s="298"/>
      <c r="K426" s="299"/>
      <c r="L426" s="304"/>
      <c r="M426" s="300"/>
      <c r="N426" s="301"/>
      <c r="P426" s="193" t="str">
        <f>IF(R426 = "", "", COUNT(R$4:$R426))</f>
        <v/>
      </c>
      <c r="Q426" s="193" t="str">
        <f t="shared" si="61"/>
        <v/>
      </c>
      <c r="R426" s="194" t="str">
        <f t="shared" si="62"/>
        <v/>
      </c>
      <c r="S426" s="195" t="str">
        <f t="shared" si="64"/>
        <v/>
      </c>
      <c r="T426" s="196" t="str">
        <f t="shared" si="65"/>
        <v/>
      </c>
      <c r="U426" s="197" t="str">
        <f t="shared" si="66"/>
        <v/>
      </c>
      <c r="V426" s="198" t="str">
        <f t="shared" si="63"/>
        <v/>
      </c>
      <c r="W426" s="339" t="str">
        <f t="shared" si="67"/>
        <v/>
      </c>
      <c r="X426" s="341" t="str">
        <f t="shared" si="68"/>
        <v/>
      </c>
      <c r="Y426" s="277"/>
      <c r="AR426" t="str">
        <f t="shared" si="69"/>
        <v/>
      </c>
      <c r="AS426" t="str">
        <f t="shared" si="70"/>
        <v/>
      </c>
    </row>
    <row r="427" spans="1:45">
      <c r="A427" s="294"/>
      <c r="B427" s="295"/>
      <c r="C427" s="296"/>
      <c r="D427" s="296"/>
      <c r="E427" s="296"/>
      <c r="F427" s="296"/>
      <c r="G427" s="297"/>
      <c r="H427" s="303"/>
      <c r="I427" s="298"/>
      <c r="J427" s="298"/>
      <c r="K427" s="299"/>
      <c r="L427" s="304"/>
      <c r="M427" s="300"/>
      <c r="N427" s="301"/>
      <c r="P427" s="193" t="str">
        <f>IF(R427 = "", "", COUNT(R$4:$R427))</f>
        <v/>
      </c>
      <c r="Q427" s="193" t="str">
        <f t="shared" si="61"/>
        <v/>
      </c>
      <c r="R427" s="194" t="str">
        <f t="shared" si="62"/>
        <v/>
      </c>
      <c r="S427" s="195" t="str">
        <f t="shared" si="64"/>
        <v/>
      </c>
      <c r="T427" s="196" t="str">
        <f t="shared" si="65"/>
        <v/>
      </c>
      <c r="U427" s="197" t="str">
        <f t="shared" si="66"/>
        <v/>
      </c>
      <c r="V427" s="198" t="str">
        <f t="shared" si="63"/>
        <v/>
      </c>
      <c r="W427" s="339" t="str">
        <f t="shared" si="67"/>
        <v/>
      </c>
      <c r="X427" s="341" t="str">
        <f t="shared" si="68"/>
        <v/>
      </c>
      <c r="Y427" s="277"/>
      <c r="AR427" t="str">
        <f t="shared" si="69"/>
        <v/>
      </c>
      <c r="AS427" t="str">
        <f t="shared" si="70"/>
        <v/>
      </c>
    </row>
    <row r="428" spans="1:45">
      <c r="A428" s="294"/>
      <c r="B428" s="295"/>
      <c r="C428" s="296"/>
      <c r="D428" s="296"/>
      <c r="E428" s="296"/>
      <c r="F428" s="296"/>
      <c r="G428" s="297"/>
      <c r="H428" s="303"/>
      <c r="I428" s="298"/>
      <c r="J428" s="298"/>
      <c r="K428" s="299"/>
      <c r="L428" s="304"/>
      <c r="M428" s="300"/>
      <c r="N428" s="301"/>
      <c r="P428" s="193" t="str">
        <f>IF(R428 = "", "", COUNT(R$4:$R428))</f>
        <v/>
      </c>
      <c r="Q428" s="193" t="str">
        <f t="shared" si="61"/>
        <v/>
      </c>
      <c r="R428" s="194" t="str">
        <f t="shared" si="62"/>
        <v/>
      </c>
      <c r="S428" s="195" t="str">
        <f t="shared" si="64"/>
        <v/>
      </c>
      <c r="T428" s="196" t="str">
        <f t="shared" si="65"/>
        <v/>
      </c>
      <c r="U428" s="197" t="str">
        <f t="shared" si="66"/>
        <v/>
      </c>
      <c r="V428" s="198" t="str">
        <f t="shared" si="63"/>
        <v/>
      </c>
      <c r="W428" s="339" t="str">
        <f t="shared" si="67"/>
        <v/>
      </c>
      <c r="X428" s="341" t="str">
        <f t="shared" si="68"/>
        <v/>
      </c>
      <c r="Y428" s="277"/>
      <c r="AR428" t="str">
        <f t="shared" si="69"/>
        <v/>
      </c>
      <c r="AS428" t="str">
        <f t="shared" si="70"/>
        <v/>
      </c>
    </row>
    <row r="429" spans="1:45">
      <c r="A429" s="294"/>
      <c r="B429" s="295"/>
      <c r="C429" s="296"/>
      <c r="D429" s="296"/>
      <c r="E429" s="296"/>
      <c r="F429" s="296"/>
      <c r="G429" s="297"/>
      <c r="H429" s="303"/>
      <c r="I429" s="298"/>
      <c r="J429" s="298"/>
      <c r="K429" s="299"/>
      <c r="L429" s="304"/>
      <c r="M429" s="300"/>
      <c r="N429" s="301"/>
      <c r="P429" s="193" t="str">
        <f>IF(R429 = "", "", COUNT(R$4:$R429))</f>
        <v/>
      </c>
      <c r="Q429" s="193" t="str">
        <f t="shared" si="61"/>
        <v/>
      </c>
      <c r="R429" s="194" t="str">
        <f t="shared" si="62"/>
        <v/>
      </c>
      <c r="S429" s="195" t="str">
        <f t="shared" si="64"/>
        <v/>
      </c>
      <c r="T429" s="196" t="str">
        <f t="shared" si="65"/>
        <v/>
      </c>
      <c r="U429" s="197" t="str">
        <f t="shared" si="66"/>
        <v/>
      </c>
      <c r="V429" s="198" t="str">
        <f t="shared" si="63"/>
        <v/>
      </c>
      <c r="W429" s="339" t="str">
        <f t="shared" si="67"/>
        <v/>
      </c>
      <c r="X429" s="341" t="str">
        <f t="shared" si="68"/>
        <v/>
      </c>
      <c r="Y429" s="277"/>
      <c r="AR429" t="str">
        <f t="shared" si="69"/>
        <v/>
      </c>
      <c r="AS429" t="str">
        <f t="shared" si="70"/>
        <v/>
      </c>
    </row>
    <row r="430" spans="1:45">
      <c r="A430" s="294"/>
      <c r="B430" s="295"/>
      <c r="C430" s="296"/>
      <c r="D430" s="296"/>
      <c r="E430" s="296"/>
      <c r="F430" s="296"/>
      <c r="G430" s="297"/>
      <c r="H430" s="303"/>
      <c r="I430" s="298"/>
      <c r="J430" s="298"/>
      <c r="K430" s="299"/>
      <c r="L430" s="304"/>
      <c r="M430" s="300"/>
      <c r="N430" s="301"/>
      <c r="P430" s="193" t="str">
        <f>IF(R430 = "", "", COUNT(R$4:$R430))</f>
        <v/>
      </c>
      <c r="Q430" s="193" t="str">
        <f t="shared" si="61"/>
        <v/>
      </c>
      <c r="R430" s="194" t="str">
        <f t="shared" si="62"/>
        <v/>
      </c>
      <c r="S430" s="195" t="str">
        <f t="shared" si="64"/>
        <v/>
      </c>
      <c r="T430" s="196" t="str">
        <f t="shared" si="65"/>
        <v/>
      </c>
      <c r="U430" s="197" t="str">
        <f t="shared" si="66"/>
        <v/>
      </c>
      <c r="V430" s="198" t="str">
        <f t="shared" si="63"/>
        <v/>
      </c>
      <c r="W430" s="339" t="str">
        <f t="shared" si="67"/>
        <v/>
      </c>
      <c r="X430" s="341" t="str">
        <f t="shared" si="68"/>
        <v/>
      </c>
      <c r="Y430" s="277"/>
      <c r="AR430" t="str">
        <f t="shared" si="69"/>
        <v/>
      </c>
      <c r="AS430" t="str">
        <f t="shared" si="70"/>
        <v/>
      </c>
    </row>
    <row r="431" spans="1:45">
      <c r="A431" s="294"/>
      <c r="B431" s="295"/>
      <c r="C431" s="296"/>
      <c r="D431" s="296"/>
      <c r="E431" s="296"/>
      <c r="F431" s="296"/>
      <c r="G431" s="297"/>
      <c r="H431" s="303"/>
      <c r="I431" s="298"/>
      <c r="J431" s="298"/>
      <c r="K431" s="299"/>
      <c r="L431" s="304"/>
      <c r="M431" s="300"/>
      <c r="N431" s="301"/>
      <c r="P431" s="193" t="str">
        <f>IF(R431 = "", "", COUNT(R$4:$R431))</f>
        <v/>
      </c>
      <c r="Q431" s="193" t="str">
        <f t="shared" si="61"/>
        <v/>
      </c>
      <c r="R431" s="194" t="str">
        <f t="shared" si="62"/>
        <v/>
      </c>
      <c r="S431" s="195" t="str">
        <f t="shared" si="64"/>
        <v/>
      </c>
      <c r="T431" s="196" t="str">
        <f t="shared" si="65"/>
        <v/>
      </c>
      <c r="U431" s="197" t="str">
        <f t="shared" si="66"/>
        <v/>
      </c>
      <c r="V431" s="198" t="str">
        <f t="shared" si="63"/>
        <v/>
      </c>
      <c r="W431" s="339" t="str">
        <f t="shared" si="67"/>
        <v/>
      </c>
      <c r="X431" s="341" t="str">
        <f t="shared" si="68"/>
        <v/>
      </c>
      <c r="Y431" s="277"/>
      <c r="AR431" t="str">
        <f t="shared" si="69"/>
        <v/>
      </c>
      <c r="AS431" t="str">
        <f t="shared" si="70"/>
        <v/>
      </c>
    </row>
    <row r="432" spans="1:45">
      <c r="A432" s="294"/>
      <c r="B432" s="295"/>
      <c r="C432" s="296"/>
      <c r="D432" s="296"/>
      <c r="E432" s="296"/>
      <c r="F432" s="296"/>
      <c r="G432" s="297"/>
      <c r="H432" s="303"/>
      <c r="I432" s="298"/>
      <c r="J432" s="298"/>
      <c r="K432" s="299"/>
      <c r="L432" s="304"/>
      <c r="M432" s="300"/>
      <c r="N432" s="301"/>
      <c r="P432" s="193" t="str">
        <f>IF(R432 = "", "", COUNT(R$4:$R432))</f>
        <v/>
      </c>
      <c r="Q432" s="193" t="str">
        <f t="shared" si="61"/>
        <v/>
      </c>
      <c r="R432" s="194" t="str">
        <f t="shared" si="62"/>
        <v/>
      </c>
      <c r="S432" s="195" t="str">
        <f t="shared" si="64"/>
        <v/>
      </c>
      <c r="T432" s="196" t="str">
        <f t="shared" si="65"/>
        <v/>
      </c>
      <c r="U432" s="197" t="str">
        <f t="shared" si="66"/>
        <v/>
      </c>
      <c r="V432" s="198" t="str">
        <f t="shared" si="63"/>
        <v/>
      </c>
      <c r="W432" s="339" t="str">
        <f t="shared" si="67"/>
        <v/>
      </c>
      <c r="X432" s="341" t="str">
        <f t="shared" si="68"/>
        <v/>
      </c>
      <c r="Y432" s="277"/>
      <c r="AR432" t="str">
        <f t="shared" si="69"/>
        <v/>
      </c>
      <c r="AS432" t="str">
        <f t="shared" si="70"/>
        <v/>
      </c>
    </row>
    <row r="433" spans="1:45">
      <c r="A433" s="294"/>
      <c r="B433" s="295"/>
      <c r="C433" s="296"/>
      <c r="D433" s="296"/>
      <c r="E433" s="296"/>
      <c r="F433" s="296"/>
      <c r="G433" s="297"/>
      <c r="H433" s="303"/>
      <c r="I433" s="298"/>
      <c r="J433" s="298"/>
      <c r="K433" s="299"/>
      <c r="L433" s="304"/>
      <c r="M433" s="300"/>
      <c r="N433" s="301"/>
      <c r="P433" s="193" t="str">
        <f>IF(R433 = "", "", COUNT(R$4:$R433))</f>
        <v/>
      </c>
      <c r="Q433" s="193" t="str">
        <f t="shared" si="61"/>
        <v/>
      </c>
      <c r="R433" s="194" t="str">
        <f t="shared" si="62"/>
        <v/>
      </c>
      <c r="S433" s="195" t="str">
        <f t="shared" si="64"/>
        <v/>
      </c>
      <c r="T433" s="196" t="str">
        <f t="shared" si="65"/>
        <v/>
      </c>
      <c r="U433" s="197" t="str">
        <f t="shared" si="66"/>
        <v/>
      </c>
      <c r="V433" s="198" t="str">
        <f t="shared" si="63"/>
        <v/>
      </c>
      <c r="W433" s="339" t="str">
        <f t="shared" si="67"/>
        <v/>
      </c>
      <c r="X433" s="341" t="str">
        <f t="shared" si="68"/>
        <v/>
      </c>
      <c r="Y433" s="277"/>
      <c r="AR433" t="str">
        <f t="shared" si="69"/>
        <v/>
      </c>
      <c r="AS433" t="str">
        <f t="shared" si="70"/>
        <v/>
      </c>
    </row>
    <row r="434" spans="1:45">
      <c r="A434" s="294"/>
      <c r="B434" s="295"/>
      <c r="C434" s="296"/>
      <c r="D434" s="296"/>
      <c r="E434" s="296"/>
      <c r="F434" s="296"/>
      <c r="G434" s="297"/>
      <c r="H434" s="303"/>
      <c r="I434" s="298"/>
      <c r="J434" s="298"/>
      <c r="K434" s="299"/>
      <c r="L434" s="304"/>
      <c r="M434" s="300"/>
      <c r="N434" s="301"/>
      <c r="P434" s="193" t="str">
        <f>IF(R434 = "", "", COUNT(R$4:$R434))</f>
        <v/>
      </c>
      <c r="Q434" s="193" t="str">
        <f t="shared" si="61"/>
        <v/>
      </c>
      <c r="R434" s="194" t="str">
        <f t="shared" si="62"/>
        <v/>
      </c>
      <c r="S434" s="195" t="str">
        <f t="shared" si="64"/>
        <v/>
      </c>
      <c r="T434" s="196" t="str">
        <f t="shared" si="65"/>
        <v/>
      </c>
      <c r="U434" s="197" t="str">
        <f t="shared" si="66"/>
        <v/>
      </c>
      <c r="V434" s="198" t="str">
        <f t="shared" si="63"/>
        <v/>
      </c>
      <c r="W434" s="339" t="str">
        <f t="shared" si="67"/>
        <v/>
      </c>
      <c r="X434" s="341" t="str">
        <f t="shared" si="68"/>
        <v/>
      </c>
      <c r="Y434" s="277"/>
      <c r="AR434" t="str">
        <f t="shared" si="69"/>
        <v/>
      </c>
      <c r="AS434" t="str">
        <f t="shared" si="70"/>
        <v/>
      </c>
    </row>
    <row r="435" spans="1:45">
      <c r="A435" s="294"/>
      <c r="B435" s="295"/>
      <c r="C435" s="296"/>
      <c r="D435" s="296"/>
      <c r="E435" s="296"/>
      <c r="F435" s="296"/>
      <c r="G435" s="297"/>
      <c r="H435" s="303"/>
      <c r="I435" s="298"/>
      <c r="J435" s="298"/>
      <c r="K435" s="299"/>
      <c r="L435" s="304"/>
      <c r="M435" s="300"/>
      <c r="N435" s="301"/>
      <c r="P435" s="193" t="str">
        <f>IF(R435 = "", "", COUNT(R$4:$R435))</f>
        <v/>
      </c>
      <c r="Q435" s="193" t="str">
        <f t="shared" si="61"/>
        <v/>
      </c>
      <c r="R435" s="194" t="str">
        <f t="shared" si="62"/>
        <v/>
      </c>
      <c r="S435" s="195" t="str">
        <f t="shared" si="64"/>
        <v/>
      </c>
      <c r="T435" s="196" t="str">
        <f t="shared" si="65"/>
        <v/>
      </c>
      <c r="U435" s="197" t="str">
        <f t="shared" si="66"/>
        <v/>
      </c>
      <c r="V435" s="198" t="str">
        <f t="shared" si="63"/>
        <v/>
      </c>
      <c r="W435" s="339" t="str">
        <f t="shared" si="67"/>
        <v/>
      </c>
      <c r="X435" s="341" t="str">
        <f t="shared" si="68"/>
        <v/>
      </c>
      <c r="Y435" s="277"/>
      <c r="AR435" t="str">
        <f t="shared" si="69"/>
        <v/>
      </c>
      <c r="AS435" t="str">
        <f t="shared" si="70"/>
        <v/>
      </c>
    </row>
    <row r="436" spans="1:45">
      <c r="A436" s="294"/>
      <c r="B436" s="295"/>
      <c r="C436" s="296"/>
      <c r="D436" s="296"/>
      <c r="E436" s="296"/>
      <c r="F436" s="296"/>
      <c r="G436" s="297"/>
      <c r="H436" s="303"/>
      <c r="I436" s="298"/>
      <c r="J436" s="298"/>
      <c r="K436" s="299"/>
      <c r="L436" s="304"/>
      <c r="M436" s="300"/>
      <c r="N436" s="301"/>
      <c r="P436" s="193" t="str">
        <f>IF(R436 = "", "", COUNT(R$4:$R436))</f>
        <v/>
      </c>
      <c r="Q436" s="193" t="str">
        <f t="shared" si="61"/>
        <v/>
      </c>
      <c r="R436" s="194" t="str">
        <f t="shared" si="62"/>
        <v/>
      </c>
      <c r="S436" s="195" t="str">
        <f t="shared" si="64"/>
        <v/>
      </c>
      <c r="T436" s="196" t="str">
        <f t="shared" si="65"/>
        <v/>
      </c>
      <c r="U436" s="197" t="str">
        <f t="shared" si="66"/>
        <v/>
      </c>
      <c r="V436" s="198" t="str">
        <f t="shared" si="63"/>
        <v/>
      </c>
      <c r="W436" s="339" t="str">
        <f t="shared" si="67"/>
        <v/>
      </c>
      <c r="X436" s="341" t="str">
        <f t="shared" si="68"/>
        <v/>
      </c>
      <c r="Y436" s="277"/>
      <c r="AR436" t="str">
        <f t="shared" si="69"/>
        <v/>
      </c>
      <c r="AS436" t="str">
        <f t="shared" si="70"/>
        <v/>
      </c>
    </row>
    <row r="437" spans="1:45">
      <c r="A437" s="294"/>
      <c r="B437" s="295"/>
      <c r="C437" s="296"/>
      <c r="D437" s="296"/>
      <c r="E437" s="296"/>
      <c r="F437" s="296"/>
      <c r="G437" s="297"/>
      <c r="H437" s="303"/>
      <c r="I437" s="298"/>
      <c r="J437" s="298"/>
      <c r="K437" s="299"/>
      <c r="L437" s="304"/>
      <c r="M437" s="300"/>
      <c r="N437" s="301"/>
      <c r="P437" s="193" t="str">
        <f>IF(R437 = "", "", COUNT(R$4:$R437))</f>
        <v/>
      </c>
      <c r="Q437" s="193" t="str">
        <f t="shared" si="61"/>
        <v/>
      </c>
      <c r="R437" s="194" t="str">
        <f t="shared" si="62"/>
        <v/>
      </c>
      <c r="S437" s="195" t="str">
        <f t="shared" si="64"/>
        <v/>
      </c>
      <c r="T437" s="196" t="str">
        <f t="shared" si="65"/>
        <v/>
      </c>
      <c r="U437" s="197" t="str">
        <f t="shared" si="66"/>
        <v/>
      </c>
      <c r="V437" s="198" t="str">
        <f t="shared" si="63"/>
        <v/>
      </c>
      <c r="W437" s="339" t="str">
        <f t="shared" si="67"/>
        <v/>
      </c>
      <c r="X437" s="341" t="str">
        <f t="shared" si="68"/>
        <v/>
      </c>
      <c r="Y437" s="277"/>
      <c r="AR437" t="str">
        <f t="shared" si="69"/>
        <v/>
      </c>
      <c r="AS437" t="str">
        <f t="shared" si="70"/>
        <v/>
      </c>
    </row>
    <row r="438" spans="1:45">
      <c r="A438" s="294"/>
      <c r="B438" s="295"/>
      <c r="C438" s="296"/>
      <c r="D438" s="296"/>
      <c r="E438" s="296"/>
      <c r="F438" s="296"/>
      <c r="G438" s="297"/>
      <c r="H438" s="303"/>
      <c r="I438" s="298"/>
      <c r="J438" s="298"/>
      <c r="K438" s="299"/>
      <c r="L438" s="304"/>
      <c r="M438" s="300"/>
      <c r="N438" s="301"/>
      <c r="P438" s="193" t="str">
        <f>IF(R438 = "", "", COUNT(R$4:$R438))</f>
        <v/>
      </c>
      <c r="Q438" s="193" t="str">
        <f t="shared" si="61"/>
        <v/>
      </c>
      <c r="R438" s="194" t="str">
        <f t="shared" si="62"/>
        <v/>
      </c>
      <c r="S438" s="195" t="str">
        <f t="shared" si="64"/>
        <v/>
      </c>
      <c r="T438" s="196" t="str">
        <f t="shared" si="65"/>
        <v/>
      </c>
      <c r="U438" s="197" t="str">
        <f t="shared" si="66"/>
        <v/>
      </c>
      <c r="V438" s="198" t="str">
        <f t="shared" si="63"/>
        <v/>
      </c>
      <c r="W438" s="339" t="str">
        <f t="shared" si="67"/>
        <v/>
      </c>
      <c r="X438" s="341" t="str">
        <f t="shared" si="68"/>
        <v/>
      </c>
      <c r="Y438" s="277"/>
      <c r="AR438" t="str">
        <f t="shared" si="69"/>
        <v/>
      </c>
      <c r="AS438" t="str">
        <f t="shared" si="70"/>
        <v/>
      </c>
    </row>
    <row r="439" spans="1:45">
      <c r="A439" s="294"/>
      <c r="B439" s="295"/>
      <c r="C439" s="296"/>
      <c r="D439" s="296"/>
      <c r="E439" s="296"/>
      <c r="F439" s="296"/>
      <c r="G439" s="297"/>
      <c r="H439" s="303"/>
      <c r="I439" s="298"/>
      <c r="J439" s="298"/>
      <c r="K439" s="299"/>
      <c r="L439" s="304"/>
      <c r="M439" s="300"/>
      <c r="N439" s="301"/>
      <c r="P439" s="193" t="str">
        <f>IF(R439 = "", "", COUNT(R$4:$R439))</f>
        <v/>
      </c>
      <c r="Q439" s="193" t="str">
        <f t="shared" si="61"/>
        <v/>
      </c>
      <c r="R439" s="194" t="str">
        <f t="shared" si="62"/>
        <v/>
      </c>
      <c r="S439" s="195" t="str">
        <f t="shared" si="64"/>
        <v/>
      </c>
      <c r="T439" s="196" t="str">
        <f t="shared" si="65"/>
        <v/>
      </c>
      <c r="U439" s="197" t="str">
        <f t="shared" si="66"/>
        <v/>
      </c>
      <c r="V439" s="198" t="str">
        <f t="shared" si="63"/>
        <v/>
      </c>
      <c r="W439" s="339" t="str">
        <f t="shared" si="67"/>
        <v/>
      </c>
      <c r="X439" s="341" t="str">
        <f t="shared" si="68"/>
        <v/>
      </c>
      <c r="Y439" s="277"/>
      <c r="AR439" t="str">
        <f t="shared" si="69"/>
        <v/>
      </c>
      <c r="AS439" t="str">
        <f t="shared" si="70"/>
        <v/>
      </c>
    </row>
    <row r="440" spans="1:45">
      <c r="A440" s="294"/>
      <c r="B440" s="295"/>
      <c r="C440" s="296"/>
      <c r="D440" s="296"/>
      <c r="E440" s="296"/>
      <c r="F440" s="296"/>
      <c r="G440" s="297"/>
      <c r="H440" s="303"/>
      <c r="I440" s="298"/>
      <c r="J440" s="298"/>
      <c r="K440" s="299"/>
      <c r="L440" s="304"/>
      <c r="M440" s="300"/>
      <c r="N440" s="301"/>
      <c r="P440" s="193" t="str">
        <f>IF(R440 = "", "", COUNT(R$4:$R440))</f>
        <v/>
      </c>
      <c r="Q440" s="193" t="str">
        <f t="shared" si="61"/>
        <v/>
      </c>
      <c r="R440" s="194" t="str">
        <f t="shared" si="62"/>
        <v/>
      </c>
      <c r="S440" s="195" t="str">
        <f t="shared" si="64"/>
        <v/>
      </c>
      <c r="T440" s="196" t="str">
        <f t="shared" si="65"/>
        <v/>
      </c>
      <c r="U440" s="197" t="str">
        <f t="shared" si="66"/>
        <v/>
      </c>
      <c r="V440" s="198" t="str">
        <f t="shared" si="63"/>
        <v/>
      </c>
      <c r="W440" s="339" t="str">
        <f t="shared" si="67"/>
        <v/>
      </c>
      <c r="X440" s="341" t="str">
        <f t="shared" si="68"/>
        <v/>
      </c>
      <c r="Y440" s="277"/>
      <c r="AR440" t="str">
        <f t="shared" si="69"/>
        <v/>
      </c>
      <c r="AS440" t="str">
        <f t="shared" si="70"/>
        <v/>
      </c>
    </row>
    <row r="441" spans="1:45">
      <c r="A441" s="294"/>
      <c r="B441" s="295"/>
      <c r="C441" s="296"/>
      <c r="D441" s="296"/>
      <c r="E441" s="296"/>
      <c r="F441" s="296"/>
      <c r="G441" s="297"/>
      <c r="H441" s="303"/>
      <c r="I441" s="298"/>
      <c r="J441" s="298"/>
      <c r="K441" s="299"/>
      <c r="L441" s="304"/>
      <c r="M441" s="300"/>
      <c r="N441" s="301"/>
      <c r="P441" s="193" t="str">
        <f>IF(R441 = "", "", COUNT(R$4:$R441))</f>
        <v/>
      </c>
      <c r="Q441" s="193" t="str">
        <f t="shared" si="61"/>
        <v/>
      </c>
      <c r="R441" s="194" t="str">
        <f t="shared" si="62"/>
        <v/>
      </c>
      <c r="S441" s="195" t="str">
        <f t="shared" si="64"/>
        <v/>
      </c>
      <c r="T441" s="196" t="str">
        <f t="shared" si="65"/>
        <v/>
      </c>
      <c r="U441" s="197" t="str">
        <f t="shared" si="66"/>
        <v/>
      </c>
      <c r="V441" s="198" t="str">
        <f t="shared" si="63"/>
        <v/>
      </c>
      <c r="W441" s="339" t="str">
        <f t="shared" si="67"/>
        <v/>
      </c>
      <c r="X441" s="341" t="str">
        <f t="shared" si="68"/>
        <v/>
      </c>
      <c r="Y441" s="277"/>
      <c r="AR441" t="str">
        <f t="shared" si="69"/>
        <v/>
      </c>
      <c r="AS441" t="str">
        <f t="shared" si="70"/>
        <v/>
      </c>
    </row>
    <row r="442" spans="1:45">
      <c r="A442" s="294"/>
      <c r="B442" s="295"/>
      <c r="C442" s="296"/>
      <c r="D442" s="296"/>
      <c r="E442" s="296"/>
      <c r="F442" s="296"/>
      <c r="G442" s="297"/>
      <c r="H442" s="303"/>
      <c r="I442" s="298"/>
      <c r="J442" s="298"/>
      <c r="K442" s="299"/>
      <c r="L442" s="304"/>
      <c r="M442" s="300"/>
      <c r="N442" s="301"/>
      <c r="P442" s="193" t="str">
        <f>IF(R442 = "", "", COUNT(R$4:$R442))</f>
        <v/>
      </c>
      <c r="Q442" s="193" t="str">
        <f t="shared" si="61"/>
        <v/>
      </c>
      <c r="R442" s="194" t="str">
        <f t="shared" si="62"/>
        <v/>
      </c>
      <c r="S442" s="195" t="str">
        <f t="shared" si="64"/>
        <v/>
      </c>
      <c r="T442" s="196" t="str">
        <f t="shared" si="65"/>
        <v/>
      </c>
      <c r="U442" s="197" t="str">
        <f t="shared" si="66"/>
        <v/>
      </c>
      <c r="V442" s="198" t="str">
        <f t="shared" si="63"/>
        <v/>
      </c>
      <c r="W442" s="339" t="str">
        <f t="shared" si="67"/>
        <v/>
      </c>
      <c r="X442" s="341" t="str">
        <f t="shared" si="68"/>
        <v/>
      </c>
      <c r="Y442" s="277"/>
      <c r="AR442" t="str">
        <f t="shared" si="69"/>
        <v/>
      </c>
      <c r="AS442" t="str">
        <f t="shared" si="70"/>
        <v/>
      </c>
    </row>
    <row r="443" spans="1:45">
      <c r="A443" s="294"/>
      <c r="B443" s="295"/>
      <c r="C443" s="296"/>
      <c r="D443" s="296"/>
      <c r="E443" s="296"/>
      <c r="F443" s="296"/>
      <c r="G443" s="297"/>
      <c r="H443" s="303"/>
      <c r="I443" s="298"/>
      <c r="J443" s="298"/>
      <c r="K443" s="299"/>
      <c r="L443" s="304"/>
      <c r="M443" s="300"/>
      <c r="N443" s="301"/>
      <c r="P443" s="193" t="str">
        <f>IF(R443 = "", "", COUNT(R$4:$R443))</f>
        <v/>
      </c>
      <c r="Q443" s="193" t="str">
        <f t="shared" si="61"/>
        <v/>
      </c>
      <c r="R443" s="194" t="str">
        <f t="shared" si="62"/>
        <v/>
      </c>
      <c r="S443" s="195" t="str">
        <f t="shared" si="64"/>
        <v/>
      </c>
      <c r="T443" s="196" t="str">
        <f t="shared" si="65"/>
        <v/>
      </c>
      <c r="U443" s="197" t="str">
        <f t="shared" si="66"/>
        <v/>
      </c>
      <c r="V443" s="198" t="str">
        <f t="shared" si="63"/>
        <v/>
      </c>
      <c r="W443" s="339" t="str">
        <f t="shared" si="67"/>
        <v/>
      </c>
      <c r="X443" s="341" t="str">
        <f t="shared" si="68"/>
        <v/>
      </c>
      <c r="Y443" s="277"/>
      <c r="AR443" t="str">
        <f t="shared" si="69"/>
        <v/>
      </c>
      <c r="AS443" t="str">
        <f t="shared" si="70"/>
        <v/>
      </c>
    </row>
    <row r="444" spans="1:45">
      <c r="A444" s="294"/>
      <c r="B444" s="295"/>
      <c r="C444" s="296"/>
      <c r="D444" s="296"/>
      <c r="E444" s="296"/>
      <c r="F444" s="296"/>
      <c r="G444" s="297"/>
      <c r="H444" s="303"/>
      <c r="I444" s="298"/>
      <c r="J444" s="298"/>
      <c r="K444" s="299"/>
      <c r="L444" s="304"/>
      <c r="M444" s="300"/>
      <c r="N444" s="301"/>
      <c r="P444" s="193" t="str">
        <f>IF(R444 = "", "", COUNT(R$4:$R444))</f>
        <v/>
      </c>
      <c r="Q444" s="193" t="str">
        <f t="shared" si="61"/>
        <v/>
      </c>
      <c r="R444" s="194" t="str">
        <f t="shared" si="62"/>
        <v/>
      </c>
      <c r="S444" s="195" t="str">
        <f t="shared" si="64"/>
        <v/>
      </c>
      <c r="T444" s="196" t="str">
        <f t="shared" si="65"/>
        <v/>
      </c>
      <c r="U444" s="197" t="str">
        <f t="shared" si="66"/>
        <v/>
      </c>
      <c r="V444" s="198" t="str">
        <f t="shared" si="63"/>
        <v/>
      </c>
      <c r="W444" s="339" t="str">
        <f t="shared" si="67"/>
        <v/>
      </c>
      <c r="X444" s="341" t="str">
        <f t="shared" si="68"/>
        <v/>
      </c>
      <c r="Y444" s="277"/>
      <c r="AR444" t="str">
        <f t="shared" si="69"/>
        <v/>
      </c>
      <c r="AS444" t="str">
        <f t="shared" si="70"/>
        <v/>
      </c>
    </row>
    <row r="445" spans="1:45">
      <c r="A445" s="294"/>
      <c r="B445" s="295"/>
      <c r="C445" s="296"/>
      <c r="D445" s="296"/>
      <c r="E445" s="296"/>
      <c r="F445" s="296"/>
      <c r="G445" s="297"/>
      <c r="H445" s="303"/>
      <c r="I445" s="298"/>
      <c r="J445" s="298"/>
      <c r="K445" s="299"/>
      <c r="L445" s="304"/>
      <c r="M445" s="300"/>
      <c r="N445" s="301"/>
      <c r="P445" s="193" t="str">
        <f>IF(R445 = "", "", COUNT(R$4:$R445))</f>
        <v/>
      </c>
      <c r="Q445" s="193" t="str">
        <f t="shared" si="61"/>
        <v/>
      </c>
      <c r="R445" s="194" t="str">
        <f t="shared" si="62"/>
        <v/>
      </c>
      <c r="S445" s="195" t="str">
        <f t="shared" si="64"/>
        <v/>
      </c>
      <c r="T445" s="196" t="str">
        <f t="shared" si="65"/>
        <v/>
      </c>
      <c r="U445" s="197" t="str">
        <f t="shared" si="66"/>
        <v/>
      </c>
      <c r="V445" s="198" t="str">
        <f t="shared" si="63"/>
        <v/>
      </c>
      <c r="W445" s="339" t="str">
        <f t="shared" si="67"/>
        <v/>
      </c>
      <c r="X445" s="341" t="str">
        <f t="shared" si="68"/>
        <v/>
      </c>
      <c r="Y445" s="277"/>
      <c r="AR445" t="str">
        <f t="shared" si="69"/>
        <v/>
      </c>
      <c r="AS445" t="str">
        <f t="shared" si="70"/>
        <v/>
      </c>
    </row>
    <row r="446" spans="1:45">
      <c r="A446" s="294"/>
      <c r="B446" s="295"/>
      <c r="C446" s="296"/>
      <c r="D446" s="296"/>
      <c r="E446" s="296"/>
      <c r="F446" s="296"/>
      <c r="G446" s="297"/>
      <c r="H446" s="303"/>
      <c r="I446" s="298"/>
      <c r="J446" s="298"/>
      <c r="K446" s="299"/>
      <c r="L446" s="304"/>
      <c r="M446" s="300"/>
      <c r="N446" s="301"/>
      <c r="P446" s="193" t="str">
        <f>IF(R446 = "", "", COUNT(R$4:$R446))</f>
        <v/>
      </c>
      <c r="Q446" s="193" t="str">
        <f t="shared" si="61"/>
        <v/>
      </c>
      <c r="R446" s="194" t="str">
        <f t="shared" si="62"/>
        <v/>
      </c>
      <c r="S446" s="195" t="str">
        <f t="shared" si="64"/>
        <v/>
      </c>
      <c r="T446" s="196" t="str">
        <f t="shared" si="65"/>
        <v/>
      </c>
      <c r="U446" s="197" t="str">
        <f t="shared" si="66"/>
        <v/>
      </c>
      <c r="V446" s="198" t="str">
        <f t="shared" si="63"/>
        <v/>
      </c>
      <c r="W446" s="339" t="str">
        <f t="shared" si="67"/>
        <v/>
      </c>
      <c r="X446" s="341" t="str">
        <f t="shared" si="68"/>
        <v/>
      </c>
      <c r="Y446" s="277"/>
      <c r="AR446" t="str">
        <f t="shared" si="69"/>
        <v/>
      </c>
      <c r="AS446" t="str">
        <f t="shared" si="70"/>
        <v/>
      </c>
    </row>
    <row r="447" spans="1:45">
      <c r="A447" s="294"/>
      <c r="B447" s="295"/>
      <c r="C447" s="296"/>
      <c r="D447" s="296"/>
      <c r="E447" s="296"/>
      <c r="F447" s="296"/>
      <c r="G447" s="297"/>
      <c r="H447" s="303"/>
      <c r="I447" s="298"/>
      <c r="J447" s="298"/>
      <c r="K447" s="299"/>
      <c r="L447" s="304"/>
      <c r="M447" s="300"/>
      <c r="N447" s="301"/>
      <c r="P447" s="193" t="str">
        <f>IF(R447 = "", "", COUNT(R$4:$R447))</f>
        <v/>
      </c>
      <c r="Q447" s="193" t="str">
        <f t="shared" si="61"/>
        <v/>
      </c>
      <c r="R447" s="194" t="str">
        <f t="shared" si="62"/>
        <v/>
      </c>
      <c r="S447" s="195" t="str">
        <f t="shared" si="64"/>
        <v/>
      </c>
      <c r="T447" s="196" t="str">
        <f t="shared" si="65"/>
        <v/>
      </c>
      <c r="U447" s="197" t="str">
        <f t="shared" si="66"/>
        <v/>
      </c>
      <c r="V447" s="198" t="str">
        <f t="shared" si="63"/>
        <v/>
      </c>
      <c r="W447" s="339" t="str">
        <f t="shared" si="67"/>
        <v/>
      </c>
      <c r="X447" s="341" t="str">
        <f t="shared" si="68"/>
        <v/>
      </c>
      <c r="Y447" s="277"/>
      <c r="AR447" t="str">
        <f t="shared" si="69"/>
        <v/>
      </c>
      <c r="AS447" t="str">
        <f t="shared" si="70"/>
        <v/>
      </c>
    </row>
    <row r="448" spans="1:45">
      <c r="A448" s="294"/>
      <c r="B448" s="295"/>
      <c r="C448" s="296"/>
      <c r="D448" s="296"/>
      <c r="E448" s="296"/>
      <c r="F448" s="296"/>
      <c r="G448" s="297"/>
      <c r="H448" s="303"/>
      <c r="I448" s="298"/>
      <c r="J448" s="298"/>
      <c r="K448" s="299"/>
      <c r="L448" s="304"/>
      <c r="M448" s="300"/>
      <c r="N448" s="301"/>
      <c r="P448" s="193" t="str">
        <f>IF(R448 = "", "", COUNT(R$4:$R448))</f>
        <v/>
      </c>
      <c r="Q448" s="193" t="str">
        <f t="shared" si="61"/>
        <v/>
      </c>
      <c r="R448" s="194" t="str">
        <f t="shared" si="62"/>
        <v/>
      </c>
      <c r="S448" s="195" t="str">
        <f t="shared" si="64"/>
        <v/>
      </c>
      <c r="T448" s="196" t="str">
        <f t="shared" si="65"/>
        <v/>
      </c>
      <c r="U448" s="197" t="str">
        <f t="shared" si="66"/>
        <v/>
      </c>
      <c r="V448" s="198" t="str">
        <f t="shared" si="63"/>
        <v/>
      </c>
      <c r="W448" s="339" t="str">
        <f t="shared" si="67"/>
        <v/>
      </c>
      <c r="X448" s="341" t="str">
        <f t="shared" si="68"/>
        <v/>
      </c>
      <c r="Y448" s="277"/>
      <c r="AR448" t="str">
        <f t="shared" si="69"/>
        <v/>
      </c>
      <c r="AS448" t="str">
        <f t="shared" si="70"/>
        <v/>
      </c>
    </row>
    <row r="449" spans="1:45">
      <c r="A449" s="294"/>
      <c r="B449" s="295"/>
      <c r="C449" s="296"/>
      <c r="D449" s="296"/>
      <c r="E449" s="296"/>
      <c r="F449" s="296"/>
      <c r="G449" s="297"/>
      <c r="H449" s="303"/>
      <c r="I449" s="298"/>
      <c r="J449" s="298"/>
      <c r="K449" s="299"/>
      <c r="L449" s="304"/>
      <c r="M449" s="300"/>
      <c r="N449" s="301"/>
      <c r="P449" s="193" t="str">
        <f>IF(R449 = "", "", COUNT(R$4:$R449))</f>
        <v/>
      </c>
      <c r="Q449" s="193" t="str">
        <f t="shared" si="61"/>
        <v/>
      </c>
      <c r="R449" s="194" t="str">
        <f t="shared" si="62"/>
        <v/>
      </c>
      <c r="S449" s="195" t="str">
        <f t="shared" si="64"/>
        <v/>
      </c>
      <c r="T449" s="196" t="str">
        <f t="shared" si="65"/>
        <v/>
      </c>
      <c r="U449" s="197" t="str">
        <f t="shared" si="66"/>
        <v/>
      </c>
      <c r="V449" s="198" t="str">
        <f t="shared" si="63"/>
        <v/>
      </c>
      <c r="W449" s="339" t="str">
        <f t="shared" si="67"/>
        <v/>
      </c>
      <c r="X449" s="341" t="str">
        <f t="shared" si="68"/>
        <v/>
      </c>
      <c r="Y449" s="277"/>
      <c r="AR449" t="str">
        <f t="shared" si="69"/>
        <v/>
      </c>
      <c r="AS449" t="str">
        <f t="shared" si="70"/>
        <v/>
      </c>
    </row>
    <row r="450" spans="1:45">
      <c r="A450" s="294"/>
      <c r="B450" s="295"/>
      <c r="C450" s="296"/>
      <c r="D450" s="296"/>
      <c r="E450" s="296"/>
      <c r="F450" s="296"/>
      <c r="G450" s="297"/>
      <c r="H450" s="303"/>
      <c r="I450" s="298"/>
      <c r="J450" s="298"/>
      <c r="K450" s="299"/>
      <c r="L450" s="304"/>
      <c r="M450" s="300"/>
      <c r="N450" s="301"/>
      <c r="P450" s="193" t="str">
        <f>IF(R450 = "", "", COUNT(R$4:$R450))</f>
        <v/>
      </c>
      <c r="Q450" s="193" t="str">
        <f t="shared" si="61"/>
        <v/>
      </c>
      <c r="R450" s="194" t="str">
        <f t="shared" si="62"/>
        <v/>
      </c>
      <c r="S450" s="195" t="str">
        <f t="shared" si="64"/>
        <v/>
      </c>
      <c r="T450" s="196" t="str">
        <f t="shared" si="65"/>
        <v/>
      </c>
      <c r="U450" s="197" t="str">
        <f t="shared" si="66"/>
        <v/>
      </c>
      <c r="V450" s="198" t="str">
        <f t="shared" si="63"/>
        <v/>
      </c>
      <c r="W450" s="339" t="str">
        <f t="shared" si="67"/>
        <v/>
      </c>
      <c r="X450" s="341" t="str">
        <f t="shared" si="68"/>
        <v/>
      </c>
      <c r="Y450" s="277"/>
      <c r="AR450" t="str">
        <f t="shared" si="69"/>
        <v/>
      </c>
      <c r="AS450" t="str">
        <f t="shared" si="70"/>
        <v/>
      </c>
    </row>
    <row r="451" spans="1:45">
      <c r="A451" s="294"/>
      <c r="B451" s="295"/>
      <c r="C451" s="296"/>
      <c r="D451" s="296"/>
      <c r="E451" s="296"/>
      <c r="F451" s="296"/>
      <c r="G451" s="297"/>
      <c r="H451" s="303"/>
      <c r="I451" s="298"/>
      <c r="J451" s="298"/>
      <c r="K451" s="299"/>
      <c r="L451" s="304"/>
      <c r="M451" s="300"/>
      <c r="N451" s="301"/>
      <c r="P451" s="193" t="str">
        <f>IF(R451 = "", "", COUNT(R$4:$R451))</f>
        <v/>
      </c>
      <c r="Q451" s="193" t="str">
        <f t="shared" si="61"/>
        <v/>
      </c>
      <c r="R451" s="194" t="str">
        <f t="shared" si="62"/>
        <v/>
      </c>
      <c r="S451" s="195" t="str">
        <f t="shared" si="64"/>
        <v/>
      </c>
      <c r="T451" s="196" t="str">
        <f t="shared" si="65"/>
        <v/>
      </c>
      <c r="U451" s="197" t="str">
        <f t="shared" si="66"/>
        <v/>
      </c>
      <c r="V451" s="198" t="str">
        <f t="shared" si="63"/>
        <v/>
      </c>
      <c r="W451" s="339" t="str">
        <f t="shared" si="67"/>
        <v/>
      </c>
      <c r="X451" s="341" t="str">
        <f t="shared" si="68"/>
        <v/>
      </c>
      <c r="Y451" s="277"/>
      <c r="AR451" t="str">
        <f t="shared" si="69"/>
        <v/>
      </c>
      <c r="AS451" t="str">
        <f t="shared" si="70"/>
        <v/>
      </c>
    </row>
    <row r="452" spans="1:45">
      <c r="A452" s="294"/>
      <c r="B452" s="295"/>
      <c r="C452" s="296"/>
      <c r="D452" s="296"/>
      <c r="E452" s="296"/>
      <c r="F452" s="296"/>
      <c r="G452" s="297"/>
      <c r="H452" s="303"/>
      <c r="I452" s="298"/>
      <c r="J452" s="298"/>
      <c r="K452" s="299"/>
      <c r="L452" s="304"/>
      <c r="M452" s="300"/>
      <c r="N452" s="301"/>
      <c r="P452" s="193" t="str">
        <f>IF(R452 = "", "", COUNT(R$4:$R452))</f>
        <v/>
      </c>
      <c r="Q452" s="193" t="str">
        <f t="shared" ref="Q452:Q515" si="71">IF(C452 &gt; 0, YEAR(B452), "")</f>
        <v/>
      </c>
      <c r="R452" s="194" t="str">
        <f t="shared" ref="R452:R515" si="72">IF(A452="", "", IF(G452="",1,IF(G452="O",1,IF(G452="C",8.4,IF(G452="B",8.4,IF(G452="A",76.8,IF(G452="K",76.8,"ERR")))))))</f>
        <v/>
      </c>
      <c r="S452" s="195" t="str">
        <f t="shared" si="64"/>
        <v/>
      </c>
      <c r="T452" s="196" t="str">
        <f t="shared" si="65"/>
        <v/>
      </c>
      <c r="U452" s="197" t="str">
        <f t="shared" si="66"/>
        <v/>
      </c>
      <c r="V452" s="198" t="str">
        <f t="shared" ref="V452:V515" si="73">IF(IF(M452&lt;&gt;"",G452,"")=0, "O", IF(M452&lt;&gt;"",G452,""))</f>
        <v/>
      </c>
      <c r="W452" s="339" t="str">
        <f t="shared" si="67"/>
        <v/>
      </c>
      <c r="X452" s="341" t="str">
        <f t="shared" si="68"/>
        <v/>
      </c>
      <c r="Y452" s="277"/>
      <c r="AR452" t="str">
        <f t="shared" si="69"/>
        <v/>
      </c>
      <c r="AS452" t="str">
        <f t="shared" si="70"/>
        <v/>
      </c>
    </row>
    <row r="453" spans="1:45">
      <c r="A453" s="294"/>
      <c r="B453" s="295"/>
      <c r="C453" s="296"/>
      <c r="D453" s="296"/>
      <c r="E453" s="296"/>
      <c r="F453" s="296"/>
      <c r="G453" s="297"/>
      <c r="H453" s="303"/>
      <c r="I453" s="298"/>
      <c r="J453" s="298"/>
      <c r="K453" s="299"/>
      <c r="L453" s="304"/>
      <c r="M453" s="300"/>
      <c r="N453" s="301"/>
      <c r="P453" s="193" t="str">
        <f>IF(R453 = "", "", COUNT(R$4:$R453))</f>
        <v/>
      </c>
      <c r="Q453" s="193" t="str">
        <f t="shared" si="71"/>
        <v/>
      </c>
      <c r="R453" s="194" t="str">
        <f t="shared" si="72"/>
        <v/>
      </c>
      <c r="S453" s="195" t="str">
        <f t="shared" ref="S453:S516" si="74">IF(L453&lt;&gt;"",R453,"")</f>
        <v/>
      </c>
      <c r="T453" s="196" t="str">
        <f t="shared" ref="T453:T516" si="75">IF(IF(L453&lt;&gt;"",G453,"")=0, "O", IF(L453&lt;&gt;"",G453,""))</f>
        <v/>
      </c>
      <c r="U453" s="197" t="str">
        <f t="shared" ref="U453:U516" si="76">IF(M453&lt;&gt;"",R453,"")</f>
        <v/>
      </c>
      <c r="V453" s="198" t="str">
        <f t="shared" si="73"/>
        <v/>
      </c>
      <c r="W453" s="339" t="str">
        <f t="shared" ref="W453:W516" si="77">IF(N453&lt;&gt;"",R453,"")</f>
        <v/>
      </c>
      <c r="X453" s="341" t="str">
        <f t="shared" ref="X453:X516" si="78">IF(IF(N453&lt;&gt;"",G453,"")=0, "O", IF(N453&lt;&gt;"",G453,""))</f>
        <v/>
      </c>
      <c r="Y453" s="277"/>
      <c r="AR453" t="str">
        <f t="shared" ref="AR453:AR516" si="79">IF(P453&gt;0, P453, "")</f>
        <v/>
      </c>
      <c r="AS453" t="str">
        <f t="shared" ref="AS453:AS516" si="80">IF(OR(L453="Y",M453="Y",N453="Y"),"Y","")</f>
        <v/>
      </c>
    </row>
    <row r="454" spans="1:45">
      <c r="A454" s="294"/>
      <c r="B454" s="295"/>
      <c r="C454" s="296"/>
      <c r="D454" s="296"/>
      <c r="E454" s="296"/>
      <c r="F454" s="296"/>
      <c r="G454" s="297"/>
      <c r="H454" s="303"/>
      <c r="I454" s="298"/>
      <c r="J454" s="298"/>
      <c r="K454" s="299"/>
      <c r="L454" s="304"/>
      <c r="M454" s="300"/>
      <c r="N454" s="301"/>
      <c r="P454" s="193" t="str">
        <f>IF(R454 = "", "", COUNT(R$4:$R454))</f>
        <v/>
      </c>
      <c r="Q454" s="193" t="str">
        <f t="shared" si="71"/>
        <v/>
      </c>
      <c r="R454" s="194" t="str">
        <f t="shared" si="72"/>
        <v/>
      </c>
      <c r="S454" s="195" t="str">
        <f t="shared" si="74"/>
        <v/>
      </c>
      <c r="T454" s="196" t="str">
        <f t="shared" si="75"/>
        <v/>
      </c>
      <c r="U454" s="197" t="str">
        <f t="shared" si="76"/>
        <v/>
      </c>
      <c r="V454" s="198" t="str">
        <f t="shared" si="73"/>
        <v/>
      </c>
      <c r="W454" s="339" t="str">
        <f t="shared" si="77"/>
        <v/>
      </c>
      <c r="X454" s="341" t="str">
        <f t="shared" si="78"/>
        <v/>
      </c>
      <c r="Y454" s="277"/>
      <c r="AR454" t="str">
        <f t="shared" si="79"/>
        <v/>
      </c>
      <c r="AS454" t="str">
        <f t="shared" si="80"/>
        <v/>
      </c>
    </row>
    <row r="455" spans="1:45">
      <c r="A455" s="294"/>
      <c r="B455" s="295"/>
      <c r="C455" s="296"/>
      <c r="D455" s="296"/>
      <c r="E455" s="296"/>
      <c r="F455" s="296"/>
      <c r="G455" s="297"/>
      <c r="H455" s="303"/>
      <c r="I455" s="298"/>
      <c r="J455" s="298"/>
      <c r="K455" s="299"/>
      <c r="L455" s="304"/>
      <c r="M455" s="300"/>
      <c r="N455" s="301"/>
      <c r="P455" s="193" t="str">
        <f>IF(R455 = "", "", COUNT(R$4:$R455))</f>
        <v/>
      </c>
      <c r="Q455" s="193" t="str">
        <f t="shared" si="71"/>
        <v/>
      </c>
      <c r="R455" s="194" t="str">
        <f t="shared" si="72"/>
        <v/>
      </c>
      <c r="S455" s="195" t="str">
        <f t="shared" si="74"/>
        <v/>
      </c>
      <c r="T455" s="196" t="str">
        <f t="shared" si="75"/>
        <v/>
      </c>
      <c r="U455" s="197" t="str">
        <f t="shared" si="76"/>
        <v/>
      </c>
      <c r="V455" s="198" t="str">
        <f t="shared" si="73"/>
        <v/>
      </c>
      <c r="W455" s="339" t="str">
        <f t="shared" si="77"/>
        <v/>
      </c>
      <c r="X455" s="341" t="str">
        <f t="shared" si="78"/>
        <v/>
      </c>
      <c r="Y455" s="277"/>
      <c r="AR455" t="str">
        <f t="shared" si="79"/>
        <v/>
      </c>
      <c r="AS455" t="str">
        <f t="shared" si="80"/>
        <v/>
      </c>
    </row>
    <row r="456" spans="1:45">
      <c r="A456" s="294"/>
      <c r="B456" s="295"/>
      <c r="C456" s="296"/>
      <c r="D456" s="296"/>
      <c r="E456" s="296"/>
      <c r="F456" s="296"/>
      <c r="G456" s="297"/>
      <c r="H456" s="303"/>
      <c r="I456" s="298"/>
      <c r="J456" s="298"/>
      <c r="K456" s="299"/>
      <c r="L456" s="304"/>
      <c r="M456" s="300"/>
      <c r="N456" s="301"/>
      <c r="P456" s="193" t="str">
        <f>IF(R456 = "", "", COUNT(R$4:$R456))</f>
        <v/>
      </c>
      <c r="Q456" s="193" t="str">
        <f t="shared" si="71"/>
        <v/>
      </c>
      <c r="R456" s="194" t="str">
        <f t="shared" si="72"/>
        <v/>
      </c>
      <c r="S456" s="195" t="str">
        <f t="shared" si="74"/>
        <v/>
      </c>
      <c r="T456" s="196" t="str">
        <f t="shared" si="75"/>
        <v/>
      </c>
      <c r="U456" s="197" t="str">
        <f t="shared" si="76"/>
        <v/>
      </c>
      <c r="V456" s="198" t="str">
        <f t="shared" si="73"/>
        <v/>
      </c>
      <c r="W456" s="339" t="str">
        <f t="shared" si="77"/>
        <v/>
      </c>
      <c r="X456" s="341" t="str">
        <f t="shared" si="78"/>
        <v/>
      </c>
      <c r="Y456" s="277"/>
      <c r="AR456" t="str">
        <f t="shared" si="79"/>
        <v/>
      </c>
      <c r="AS456" t="str">
        <f t="shared" si="80"/>
        <v/>
      </c>
    </row>
    <row r="457" spans="1:45">
      <c r="A457" s="294"/>
      <c r="B457" s="295"/>
      <c r="C457" s="296"/>
      <c r="D457" s="296"/>
      <c r="E457" s="296"/>
      <c r="F457" s="296"/>
      <c r="G457" s="297"/>
      <c r="H457" s="303"/>
      <c r="I457" s="298"/>
      <c r="J457" s="298"/>
      <c r="K457" s="299"/>
      <c r="L457" s="304"/>
      <c r="M457" s="300"/>
      <c r="N457" s="301"/>
      <c r="P457" s="193" t="str">
        <f>IF(R457 = "", "", COUNT(R$4:$R457))</f>
        <v/>
      </c>
      <c r="Q457" s="193" t="str">
        <f t="shared" si="71"/>
        <v/>
      </c>
      <c r="R457" s="194" t="str">
        <f t="shared" si="72"/>
        <v/>
      </c>
      <c r="S457" s="195" t="str">
        <f t="shared" si="74"/>
        <v/>
      </c>
      <c r="T457" s="196" t="str">
        <f t="shared" si="75"/>
        <v/>
      </c>
      <c r="U457" s="197" t="str">
        <f t="shared" si="76"/>
        <v/>
      </c>
      <c r="V457" s="198" t="str">
        <f t="shared" si="73"/>
        <v/>
      </c>
      <c r="W457" s="339" t="str">
        <f t="shared" si="77"/>
        <v/>
      </c>
      <c r="X457" s="341" t="str">
        <f t="shared" si="78"/>
        <v/>
      </c>
      <c r="Y457" s="277"/>
      <c r="AR457" t="str">
        <f t="shared" si="79"/>
        <v/>
      </c>
      <c r="AS457" t="str">
        <f t="shared" si="80"/>
        <v/>
      </c>
    </row>
    <row r="458" spans="1:45">
      <c r="A458" s="294"/>
      <c r="B458" s="295"/>
      <c r="C458" s="296"/>
      <c r="D458" s="296"/>
      <c r="E458" s="296"/>
      <c r="F458" s="296"/>
      <c r="G458" s="297"/>
      <c r="H458" s="303"/>
      <c r="I458" s="298"/>
      <c r="J458" s="298"/>
      <c r="K458" s="299"/>
      <c r="L458" s="304"/>
      <c r="M458" s="300"/>
      <c r="N458" s="301"/>
      <c r="P458" s="193" t="str">
        <f>IF(R458 = "", "", COUNT(R$4:$R458))</f>
        <v/>
      </c>
      <c r="Q458" s="193" t="str">
        <f t="shared" si="71"/>
        <v/>
      </c>
      <c r="R458" s="194" t="str">
        <f t="shared" si="72"/>
        <v/>
      </c>
      <c r="S458" s="195" t="str">
        <f t="shared" si="74"/>
        <v/>
      </c>
      <c r="T458" s="196" t="str">
        <f t="shared" si="75"/>
        <v/>
      </c>
      <c r="U458" s="197" t="str">
        <f t="shared" si="76"/>
        <v/>
      </c>
      <c r="V458" s="198" t="str">
        <f t="shared" si="73"/>
        <v/>
      </c>
      <c r="W458" s="339" t="str">
        <f t="shared" si="77"/>
        <v/>
      </c>
      <c r="X458" s="341" t="str">
        <f t="shared" si="78"/>
        <v/>
      </c>
      <c r="Y458" s="277"/>
      <c r="AR458" t="str">
        <f t="shared" si="79"/>
        <v/>
      </c>
      <c r="AS458" t="str">
        <f t="shared" si="80"/>
        <v/>
      </c>
    </row>
    <row r="459" spans="1:45">
      <c r="A459" s="294"/>
      <c r="B459" s="295"/>
      <c r="C459" s="296"/>
      <c r="D459" s="296"/>
      <c r="E459" s="296"/>
      <c r="F459" s="296"/>
      <c r="G459" s="297"/>
      <c r="H459" s="303"/>
      <c r="I459" s="298"/>
      <c r="J459" s="298"/>
      <c r="K459" s="299"/>
      <c r="L459" s="304"/>
      <c r="M459" s="300"/>
      <c r="N459" s="301"/>
      <c r="P459" s="193" t="str">
        <f>IF(R459 = "", "", COUNT(R$4:$R459))</f>
        <v/>
      </c>
      <c r="Q459" s="193" t="str">
        <f t="shared" si="71"/>
        <v/>
      </c>
      <c r="R459" s="194" t="str">
        <f t="shared" si="72"/>
        <v/>
      </c>
      <c r="S459" s="195" t="str">
        <f t="shared" si="74"/>
        <v/>
      </c>
      <c r="T459" s="196" t="str">
        <f t="shared" si="75"/>
        <v/>
      </c>
      <c r="U459" s="197" t="str">
        <f t="shared" si="76"/>
        <v/>
      </c>
      <c r="V459" s="198" t="str">
        <f t="shared" si="73"/>
        <v/>
      </c>
      <c r="W459" s="339" t="str">
        <f t="shared" si="77"/>
        <v/>
      </c>
      <c r="X459" s="341" t="str">
        <f t="shared" si="78"/>
        <v/>
      </c>
      <c r="Y459" s="277"/>
      <c r="AR459" t="str">
        <f t="shared" si="79"/>
        <v/>
      </c>
      <c r="AS459" t="str">
        <f t="shared" si="80"/>
        <v/>
      </c>
    </row>
    <row r="460" spans="1:45">
      <c r="A460" s="294"/>
      <c r="B460" s="295"/>
      <c r="C460" s="296"/>
      <c r="D460" s="296"/>
      <c r="E460" s="296"/>
      <c r="F460" s="296"/>
      <c r="G460" s="297"/>
      <c r="H460" s="303"/>
      <c r="I460" s="298"/>
      <c r="J460" s="298"/>
      <c r="K460" s="299"/>
      <c r="L460" s="304"/>
      <c r="M460" s="300"/>
      <c r="N460" s="301"/>
      <c r="P460" s="193" t="str">
        <f>IF(R460 = "", "", COUNT(R$4:$R460))</f>
        <v/>
      </c>
      <c r="Q460" s="193" t="str">
        <f t="shared" si="71"/>
        <v/>
      </c>
      <c r="R460" s="194" t="str">
        <f t="shared" si="72"/>
        <v/>
      </c>
      <c r="S460" s="195" t="str">
        <f t="shared" si="74"/>
        <v/>
      </c>
      <c r="T460" s="196" t="str">
        <f t="shared" si="75"/>
        <v/>
      </c>
      <c r="U460" s="197" t="str">
        <f t="shared" si="76"/>
        <v/>
      </c>
      <c r="V460" s="198" t="str">
        <f t="shared" si="73"/>
        <v/>
      </c>
      <c r="W460" s="339" t="str">
        <f t="shared" si="77"/>
        <v/>
      </c>
      <c r="X460" s="341" t="str">
        <f t="shared" si="78"/>
        <v/>
      </c>
      <c r="Y460" s="277"/>
      <c r="AR460" t="str">
        <f t="shared" si="79"/>
        <v/>
      </c>
      <c r="AS460" t="str">
        <f t="shared" si="80"/>
        <v/>
      </c>
    </row>
    <row r="461" spans="1:45">
      <c r="A461" s="294"/>
      <c r="B461" s="295"/>
      <c r="C461" s="296"/>
      <c r="D461" s="296"/>
      <c r="E461" s="296"/>
      <c r="F461" s="296"/>
      <c r="G461" s="297"/>
      <c r="H461" s="303"/>
      <c r="I461" s="298"/>
      <c r="J461" s="298"/>
      <c r="K461" s="299"/>
      <c r="L461" s="304"/>
      <c r="M461" s="300"/>
      <c r="N461" s="301"/>
      <c r="P461" s="193" t="str">
        <f>IF(R461 = "", "", COUNT(R$4:$R461))</f>
        <v/>
      </c>
      <c r="Q461" s="193" t="str">
        <f t="shared" si="71"/>
        <v/>
      </c>
      <c r="R461" s="194" t="str">
        <f t="shared" si="72"/>
        <v/>
      </c>
      <c r="S461" s="195" t="str">
        <f t="shared" si="74"/>
        <v/>
      </c>
      <c r="T461" s="196" t="str">
        <f t="shared" si="75"/>
        <v/>
      </c>
      <c r="U461" s="197" t="str">
        <f t="shared" si="76"/>
        <v/>
      </c>
      <c r="V461" s="198" t="str">
        <f t="shared" si="73"/>
        <v/>
      </c>
      <c r="W461" s="339" t="str">
        <f t="shared" si="77"/>
        <v/>
      </c>
      <c r="X461" s="341" t="str">
        <f t="shared" si="78"/>
        <v/>
      </c>
      <c r="Y461" s="277"/>
      <c r="AR461" t="str">
        <f t="shared" si="79"/>
        <v/>
      </c>
      <c r="AS461" t="str">
        <f t="shared" si="80"/>
        <v/>
      </c>
    </row>
    <row r="462" spans="1:45">
      <c r="A462" s="294"/>
      <c r="B462" s="295"/>
      <c r="C462" s="296"/>
      <c r="D462" s="296"/>
      <c r="E462" s="296"/>
      <c r="F462" s="296"/>
      <c r="G462" s="297"/>
      <c r="H462" s="303"/>
      <c r="I462" s="298"/>
      <c r="J462" s="298"/>
      <c r="K462" s="299"/>
      <c r="L462" s="304"/>
      <c r="M462" s="300"/>
      <c r="N462" s="301"/>
      <c r="P462" s="193" t="str">
        <f>IF(R462 = "", "", COUNT(R$4:$R462))</f>
        <v/>
      </c>
      <c r="Q462" s="193" t="str">
        <f t="shared" si="71"/>
        <v/>
      </c>
      <c r="R462" s="194" t="str">
        <f t="shared" si="72"/>
        <v/>
      </c>
      <c r="S462" s="195" t="str">
        <f t="shared" si="74"/>
        <v/>
      </c>
      <c r="T462" s="196" t="str">
        <f t="shared" si="75"/>
        <v/>
      </c>
      <c r="U462" s="197" t="str">
        <f t="shared" si="76"/>
        <v/>
      </c>
      <c r="V462" s="198" t="str">
        <f t="shared" si="73"/>
        <v/>
      </c>
      <c r="W462" s="339" t="str">
        <f t="shared" si="77"/>
        <v/>
      </c>
      <c r="X462" s="341" t="str">
        <f t="shared" si="78"/>
        <v/>
      </c>
      <c r="Y462" s="277"/>
      <c r="AR462" t="str">
        <f t="shared" si="79"/>
        <v/>
      </c>
      <c r="AS462" t="str">
        <f t="shared" si="80"/>
        <v/>
      </c>
    </row>
    <row r="463" spans="1:45">
      <c r="A463" s="294"/>
      <c r="B463" s="295"/>
      <c r="C463" s="296"/>
      <c r="D463" s="296"/>
      <c r="E463" s="296"/>
      <c r="F463" s="296"/>
      <c r="G463" s="297"/>
      <c r="H463" s="303"/>
      <c r="I463" s="298"/>
      <c r="J463" s="298"/>
      <c r="K463" s="299"/>
      <c r="L463" s="304"/>
      <c r="M463" s="300"/>
      <c r="N463" s="301"/>
      <c r="P463" s="193" t="str">
        <f>IF(R463 = "", "", COUNT(R$4:$R463))</f>
        <v/>
      </c>
      <c r="Q463" s="193" t="str">
        <f t="shared" si="71"/>
        <v/>
      </c>
      <c r="R463" s="194" t="str">
        <f t="shared" si="72"/>
        <v/>
      </c>
      <c r="S463" s="195" t="str">
        <f t="shared" si="74"/>
        <v/>
      </c>
      <c r="T463" s="196" t="str">
        <f t="shared" si="75"/>
        <v/>
      </c>
      <c r="U463" s="197" t="str">
        <f t="shared" si="76"/>
        <v/>
      </c>
      <c r="V463" s="198" t="str">
        <f t="shared" si="73"/>
        <v/>
      </c>
      <c r="W463" s="339" t="str">
        <f t="shared" si="77"/>
        <v/>
      </c>
      <c r="X463" s="341" t="str">
        <f t="shared" si="78"/>
        <v/>
      </c>
      <c r="Y463" s="277"/>
      <c r="AR463" t="str">
        <f t="shared" si="79"/>
        <v/>
      </c>
      <c r="AS463" t="str">
        <f t="shared" si="80"/>
        <v/>
      </c>
    </row>
    <row r="464" spans="1:45">
      <c r="A464" s="294"/>
      <c r="B464" s="295"/>
      <c r="C464" s="296"/>
      <c r="D464" s="296"/>
      <c r="E464" s="296"/>
      <c r="F464" s="296"/>
      <c r="G464" s="297"/>
      <c r="H464" s="303"/>
      <c r="I464" s="298"/>
      <c r="J464" s="298"/>
      <c r="K464" s="299"/>
      <c r="L464" s="304"/>
      <c r="M464" s="300"/>
      <c r="N464" s="301"/>
      <c r="P464" s="193" t="str">
        <f>IF(R464 = "", "", COUNT(R$4:$R464))</f>
        <v/>
      </c>
      <c r="Q464" s="193" t="str">
        <f t="shared" si="71"/>
        <v/>
      </c>
      <c r="R464" s="194" t="str">
        <f t="shared" si="72"/>
        <v/>
      </c>
      <c r="S464" s="195" t="str">
        <f t="shared" si="74"/>
        <v/>
      </c>
      <c r="T464" s="196" t="str">
        <f t="shared" si="75"/>
        <v/>
      </c>
      <c r="U464" s="197" t="str">
        <f t="shared" si="76"/>
        <v/>
      </c>
      <c r="V464" s="198" t="str">
        <f t="shared" si="73"/>
        <v/>
      </c>
      <c r="W464" s="339" t="str">
        <f t="shared" si="77"/>
        <v/>
      </c>
      <c r="X464" s="341" t="str">
        <f t="shared" si="78"/>
        <v/>
      </c>
      <c r="Y464" s="277"/>
      <c r="AR464" t="str">
        <f t="shared" si="79"/>
        <v/>
      </c>
      <c r="AS464" t="str">
        <f t="shared" si="80"/>
        <v/>
      </c>
    </row>
    <row r="465" spans="1:45">
      <c r="A465" s="294"/>
      <c r="B465" s="295"/>
      <c r="C465" s="296"/>
      <c r="D465" s="296"/>
      <c r="E465" s="296"/>
      <c r="F465" s="296"/>
      <c r="G465" s="297"/>
      <c r="H465" s="303"/>
      <c r="I465" s="298"/>
      <c r="J465" s="298"/>
      <c r="K465" s="299"/>
      <c r="L465" s="304"/>
      <c r="M465" s="300"/>
      <c r="N465" s="301"/>
      <c r="P465" s="193" t="str">
        <f>IF(R465 = "", "", COUNT(R$4:$R465))</f>
        <v/>
      </c>
      <c r="Q465" s="193" t="str">
        <f t="shared" si="71"/>
        <v/>
      </c>
      <c r="R465" s="194" t="str">
        <f t="shared" si="72"/>
        <v/>
      </c>
      <c r="S465" s="195" t="str">
        <f t="shared" si="74"/>
        <v/>
      </c>
      <c r="T465" s="196" t="str">
        <f t="shared" si="75"/>
        <v/>
      </c>
      <c r="U465" s="197" t="str">
        <f t="shared" si="76"/>
        <v/>
      </c>
      <c r="V465" s="198" t="str">
        <f t="shared" si="73"/>
        <v/>
      </c>
      <c r="W465" s="339" t="str">
        <f t="shared" si="77"/>
        <v/>
      </c>
      <c r="X465" s="341" t="str">
        <f t="shared" si="78"/>
        <v/>
      </c>
      <c r="Y465" s="277"/>
      <c r="AR465" t="str">
        <f t="shared" si="79"/>
        <v/>
      </c>
      <c r="AS465" t="str">
        <f t="shared" si="80"/>
        <v/>
      </c>
    </row>
    <row r="466" spans="1:45">
      <c r="A466" s="294"/>
      <c r="B466" s="295"/>
      <c r="C466" s="296"/>
      <c r="D466" s="296"/>
      <c r="E466" s="296"/>
      <c r="F466" s="296"/>
      <c r="G466" s="297"/>
      <c r="H466" s="303"/>
      <c r="I466" s="298"/>
      <c r="J466" s="298"/>
      <c r="K466" s="299"/>
      <c r="L466" s="304"/>
      <c r="M466" s="300"/>
      <c r="N466" s="301"/>
      <c r="P466" s="193" t="str">
        <f>IF(R466 = "", "", COUNT(R$4:$R466))</f>
        <v/>
      </c>
      <c r="Q466" s="193" t="str">
        <f t="shared" si="71"/>
        <v/>
      </c>
      <c r="R466" s="194" t="str">
        <f t="shared" si="72"/>
        <v/>
      </c>
      <c r="S466" s="195" t="str">
        <f t="shared" si="74"/>
        <v/>
      </c>
      <c r="T466" s="196" t="str">
        <f t="shared" si="75"/>
        <v/>
      </c>
      <c r="U466" s="197" t="str">
        <f t="shared" si="76"/>
        <v/>
      </c>
      <c r="V466" s="198" t="str">
        <f t="shared" si="73"/>
        <v/>
      </c>
      <c r="W466" s="339" t="str">
        <f t="shared" si="77"/>
        <v/>
      </c>
      <c r="X466" s="341" t="str">
        <f t="shared" si="78"/>
        <v/>
      </c>
      <c r="Y466" s="277"/>
      <c r="AR466" t="str">
        <f t="shared" si="79"/>
        <v/>
      </c>
      <c r="AS466" t="str">
        <f t="shared" si="80"/>
        <v/>
      </c>
    </row>
    <row r="467" spans="1:45">
      <c r="A467" s="294"/>
      <c r="B467" s="295"/>
      <c r="C467" s="296"/>
      <c r="D467" s="296"/>
      <c r="E467" s="296"/>
      <c r="F467" s="296"/>
      <c r="G467" s="297"/>
      <c r="H467" s="303"/>
      <c r="I467" s="298"/>
      <c r="J467" s="298"/>
      <c r="K467" s="299"/>
      <c r="L467" s="304"/>
      <c r="M467" s="300"/>
      <c r="N467" s="301"/>
      <c r="P467" s="193" t="str">
        <f>IF(R467 = "", "", COUNT(R$4:$R467))</f>
        <v/>
      </c>
      <c r="Q467" s="193" t="str">
        <f t="shared" si="71"/>
        <v/>
      </c>
      <c r="R467" s="194" t="str">
        <f t="shared" si="72"/>
        <v/>
      </c>
      <c r="S467" s="195" t="str">
        <f t="shared" si="74"/>
        <v/>
      </c>
      <c r="T467" s="196" t="str">
        <f t="shared" si="75"/>
        <v/>
      </c>
      <c r="U467" s="197" t="str">
        <f t="shared" si="76"/>
        <v/>
      </c>
      <c r="V467" s="198" t="str">
        <f t="shared" si="73"/>
        <v/>
      </c>
      <c r="W467" s="339" t="str">
        <f t="shared" si="77"/>
        <v/>
      </c>
      <c r="X467" s="341" t="str">
        <f t="shared" si="78"/>
        <v/>
      </c>
      <c r="Y467" s="277"/>
      <c r="AR467" t="str">
        <f t="shared" si="79"/>
        <v/>
      </c>
      <c r="AS467" t="str">
        <f t="shared" si="80"/>
        <v/>
      </c>
    </row>
    <row r="468" spans="1:45">
      <c r="A468" s="294"/>
      <c r="B468" s="295"/>
      <c r="C468" s="296"/>
      <c r="D468" s="296"/>
      <c r="E468" s="296"/>
      <c r="F468" s="296"/>
      <c r="G468" s="297"/>
      <c r="H468" s="303"/>
      <c r="I468" s="298"/>
      <c r="J468" s="298"/>
      <c r="K468" s="299"/>
      <c r="L468" s="304"/>
      <c r="M468" s="300"/>
      <c r="N468" s="301"/>
      <c r="P468" s="193" t="str">
        <f>IF(R468 = "", "", COUNT(R$4:$R468))</f>
        <v/>
      </c>
      <c r="Q468" s="193" t="str">
        <f t="shared" si="71"/>
        <v/>
      </c>
      <c r="R468" s="194" t="str">
        <f t="shared" si="72"/>
        <v/>
      </c>
      <c r="S468" s="195" t="str">
        <f t="shared" si="74"/>
        <v/>
      </c>
      <c r="T468" s="196" t="str">
        <f t="shared" si="75"/>
        <v/>
      </c>
      <c r="U468" s="197" t="str">
        <f t="shared" si="76"/>
        <v/>
      </c>
      <c r="V468" s="198" t="str">
        <f t="shared" si="73"/>
        <v/>
      </c>
      <c r="W468" s="339" t="str">
        <f t="shared" si="77"/>
        <v/>
      </c>
      <c r="X468" s="341" t="str">
        <f t="shared" si="78"/>
        <v/>
      </c>
      <c r="Y468" s="277"/>
      <c r="AR468" t="str">
        <f t="shared" si="79"/>
        <v/>
      </c>
      <c r="AS468" t="str">
        <f t="shared" si="80"/>
        <v/>
      </c>
    </row>
    <row r="469" spans="1:45">
      <c r="A469" s="294"/>
      <c r="B469" s="295"/>
      <c r="C469" s="296"/>
      <c r="D469" s="296"/>
      <c r="E469" s="296"/>
      <c r="F469" s="296"/>
      <c r="G469" s="297"/>
      <c r="H469" s="303"/>
      <c r="I469" s="298"/>
      <c r="J469" s="298"/>
      <c r="K469" s="299"/>
      <c r="L469" s="304"/>
      <c r="M469" s="300"/>
      <c r="N469" s="301"/>
      <c r="P469" s="193" t="str">
        <f>IF(R469 = "", "", COUNT(R$4:$R469))</f>
        <v/>
      </c>
      <c r="Q469" s="193" t="str">
        <f t="shared" si="71"/>
        <v/>
      </c>
      <c r="R469" s="194" t="str">
        <f t="shared" si="72"/>
        <v/>
      </c>
      <c r="S469" s="195" t="str">
        <f t="shared" si="74"/>
        <v/>
      </c>
      <c r="T469" s="196" t="str">
        <f t="shared" si="75"/>
        <v/>
      </c>
      <c r="U469" s="197" t="str">
        <f t="shared" si="76"/>
        <v/>
      </c>
      <c r="V469" s="198" t="str">
        <f t="shared" si="73"/>
        <v/>
      </c>
      <c r="W469" s="339" t="str">
        <f t="shared" si="77"/>
        <v/>
      </c>
      <c r="X469" s="341" t="str">
        <f t="shared" si="78"/>
        <v/>
      </c>
      <c r="Y469" s="277"/>
      <c r="AR469" t="str">
        <f t="shared" si="79"/>
        <v/>
      </c>
      <c r="AS469" t="str">
        <f t="shared" si="80"/>
        <v/>
      </c>
    </row>
    <row r="470" spans="1:45">
      <c r="A470" s="294"/>
      <c r="B470" s="295"/>
      <c r="C470" s="296"/>
      <c r="D470" s="296"/>
      <c r="E470" s="296"/>
      <c r="F470" s="296"/>
      <c r="G470" s="297"/>
      <c r="H470" s="303"/>
      <c r="I470" s="298"/>
      <c r="J470" s="298"/>
      <c r="K470" s="299"/>
      <c r="L470" s="304"/>
      <c r="M470" s="300"/>
      <c r="N470" s="301"/>
      <c r="P470" s="193" t="str">
        <f>IF(R470 = "", "", COUNT(R$4:$R470))</f>
        <v/>
      </c>
      <c r="Q470" s="193" t="str">
        <f t="shared" si="71"/>
        <v/>
      </c>
      <c r="R470" s="194" t="str">
        <f t="shared" si="72"/>
        <v/>
      </c>
      <c r="S470" s="195" t="str">
        <f t="shared" si="74"/>
        <v/>
      </c>
      <c r="T470" s="196" t="str">
        <f t="shared" si="75"/>
        <v/>
      </c>
      <c r="U470" s="197" t="str">
        <f t="shared" si="76"/>
        <v/>
      </c>
      <c r="V470" s="198" t="str">
        <f t="shared" si="73"/>
        <v/>
      </c>
      <c r="W470" s="339" t="str">
        <f t="shared" si="77"/>
        <v/>
      </c>
      <c r="X470" s="341" t="str">
        <f t="shared" si="78"/>
        <v/>
      </c>
      <c r="Y470" s="277"/>
      <c r="AR470" t="str">
        <f t="shared" si="79"/>
        <v/>
      </c>
      <c r="AS470" t="str">
        <f t="shared" si="80"/>
        <v/>
      </c>
    </row>
    <row r="471" spans="1:45">
      <c r="A471" s="294"/>
      <c r="B471" s="295"/>
      <c r="C471" s="296"/>
      <c r="D471" s="296"/>
      <c r="E471" s="296"/>
      <c r="F471" s="296"/>
      <c r="G471" s="297"/>
      <c r="H471" s="303"/>
      <c r="I471" s="298"/>
      <c r="J471" s="298"/>
      <c r="K471" s="299"/>
      <c r="L471" s="304"/>
      <c r="M471" s="300"/>
      <c r="N471" s="301"/>
      <c r="P471" s="193" t="str">
        <f>IF(R471 = "", "", COUNT(R$4:$R471))</f>
        <v/>
      </c>
      <c r="Q471" s="193" t="str">
        <f t="shared" si="71"/>
        <v/>
      </c>
      <c r="R471" s="194" t="str">
        <f t="shared" si="72"/>
        <v/>
      </c>
      <c r="S471" s="195" t="str">
        <f t="shared" si="74"/>
        <v/>
      </c>
      <c r="T471" s="196" t="str">
        <f t="shared" si="75"/>
        <v/>
      </c>
      <c r="U471" s="197" t="str">
        <f t="shared" si="76"/>
        <v/>
      </c>
      <c r="V471" s="198" t="str">
        <f t="shared" si="73"/>
        <v/>
      </c>
      <c r="W471" s="339" t="str">
        <f t="shared" si="77"/>
        <v/>
      </c>
      <c r="X471" s="341" t="str">
        <f t="shared" si="78"/>
        <v/>
      </c>
      <c r="Y471" s="277"/>
      <c r="AR471" t="str">
        <f t="shared" si="79"/>
        <v/>
      </c>
      <c r="AS471" t="str">
        <f t="shared" si="80"/>
        <v/>
      </c>
    </row>
    <row r="472" spans="1:45">
      <c r="A472" s="294"/>
      <c r="B472" s="295"/>
      <c r="C472" s="296"/>
      <c r="D472" s="296"/>
      <c r="E472" s="296"/>
      <c r="F472" s="296"/>
      <c r="G472" s="297"/>
      <c r="H472" s="303"/>
      <c r="I472" s="298"/>
      <c r="J472" s="298"/>
      <c r="K472" s="299"/>
      <c r="L472" s="304"/>
      <c r="M472" s="300"/>
      <c r="N472" s="301"/>
      <c r="P472" s="193" t="str">
        <f>IF(R472 = "", "", COUNT(R$4:$R472))</f>
        <v/>
      </c>
      <c r="Q472" s="193" t="str">
        <f t="shared" si="71"/>
        <v/>
      </c>
      <c r="R472" s="194" t="str">
        <f t="shared" si="72"/>
        <v/>
      </c>
      <c r="S472" s="195" t="str">
        <f t="shared" si="74"/>
        <v/>
      </c>
      <c r="T472" s="196" t="str">
        <f t="shared" si="75"/>
        <v/>
      </c>
      <c r="U472" s="197" t="str">
        <f t="shared" si="76"/>
        <v/>
      </c>
      <c r="V472" s="198" t="str">
        <f t="shared" si="73"/>
        <v/>
      </c>
      <c r="W472" s="339" t="str">
        <f t="shared" si="77"/>
        <v/>
      </c>
      <c r="X472" s="341" t="str">
        <f t="shared" si="78"/>
        <v/>
      </c>
      <c r="Y472" s="277"/>
      <c r="AR472" t="str">
        <f t="shared" si="79"/>
        <v/>
      </c>
      <c r="AS472" t="str">
        <f t="shared" si="80"/>
        <v/>
      </c>
    </row>
    <row r="473" spans="1:45">
      <c r="A473" s="294"/>
      <c r="B473" s="295"/>
      <c r="C473" s="296"/>
      <c r="D473" s="296"/>
      <c r="E473" s="296"/>
      <c r="F473" s="296"/>
      <c r="G473" s="297"/>
      <c r="H473" s="303"/>
      <c r="I473" s="298"/>
      <c r="J473" s="298"/>
      <c r="K473" s="299"/>
      <c r="L473" s="304"/>
      <c r="M473" s="300"/>
      <c r="N473" s="301"/>
      <c r="P473" s="193" t="str">
        <f>IF(R473 = "", "", COUNT(R$4:$R473))</f>
        <v/>
      </c>
      <c r="Q473" s="193" t="str">
        <f t="shared" si="71"/>
        <v/>
      </c>
      <c r="R473" s="194" t="str">
        <f t="shared" si="72"/>
        <v/>
      </c>
      <c r="S473" s="195" t="str">
        <f t="shared" si="74"/>
        <v/>
      </c>
      <c r="T473" s="196" t="str">
        <f t="shared" si="75"/>
        <v/>
      </c>
      <c r="U473" s="197" t="str">
        <f t="shared" si="76"/>
        <v/>
      </c>
      <c r="V473" s="198" t="str">
        <f t="shared" si="73"/>
        <v/>
      </c>
      <c r="W473" s="339" t="str">
        <f t="shared" si="77"/>
        <v/>
      </c>
      <c r="X473" s="341" t="str">
        <f t="shared" si="78"/>
        <v/>
      </c>
      <c r="Y473" s="277"/>
      <c r="AR473" t="str">
        <f t="shared" si="79"/>
        <v/>
      </c>
      <c r="AS473" t="str">
        <f t="shared" si="80"/>
        <v/>
      </c>
    </row>
    <row r="474" spans="1:45">
      <c r="A474" s="294"/>
      <c r="B474" s="295"/>
      <c r="C474" s="296"/>
      <c r="D474" s="296"/>
      <c r="E474" s="296"/>
      <c r="F474" s="296"/>
      <c r="G474" s="297"/>
      <c r="H474" s="303"/>
      <c r="I474" s="298"/>
      <c r="J474" s="298"/>
      <c r="K474" s="299"/>
      <c r="L474" s="304"/>
      <c r="M474" s="300"/>
      <c r="N474" s="301"/>
      <c r="P474" s="193" t="str">
        <f>IF(R474 = "", "", COUNT(R$4:$R474))</f>
        <v/>
      </c>
      <c r="Q474" s="193" t="str">
        <f t="shared" si="71"/>
        <v/>
      </c>
      <c r="R474" s="194" t="str">
        <f t="shared" si="72"/>
        <v/>
      </c>
      <c r="S474" s="195" t="str">
        <f t="shared" si="74"/>
        <v/>
      </c>
      <c r="T474" s="196" t="str">
        <f t="shared" si="75"/>
        <v/>
      </c>
      <c r="U474" s="197" t="str">
        <f t="shared" si="76"/>
        <v/>
      </c>
      <c r="V474" s="198" t="str">
        <f t="shared" si="73"/>
        <v/>
      </c>
      <c r="W474" s="339" t="str">
        <f t="shared" si="77"/>
        <v/>
      </c>
      <c r="X474" s="341" t="str">
        <f t="shared" si="78"/>
        <v/>
      </c>
      <c r="Y474" s="277"/>
      <c r="AR474" t="str">
        <f t="shared" si="79"/>
        <v/>
      </c>
      <c r="AS474" t="str">
        <f t="shared" si="80"/>
        <v/>
      </c>
    </row>
    <row r="475" spans="1:45">
      <c r="A475" s="294"/>
      <c r="B475" s="295"/>
      <c r="C475" s="296"/>
      <c r="D475" s="296"/>
      <c r="E475" s="296"/>
      <c r="F475" s="296"/>
      <c r="G475" s="297"/>
      <c r="H475" s="303"/>
      <c r="I475" s="298"/>
      <c r="J475" s="298"/>
      <c r="K475" s="299"/>
      <c r="L475" s="304"/>
      <c r="M475" s="300"/>
      <c r="N475" s="301"/>
      <c r="P475" s="193" t="str">
        <f>IF(R475 = "", "", COUNT(R$4:$R475))</f>
        <v/>
      </c>
      <c r="Q475" s="193" t="str">
        <f t="shared" si="71"/>
        <v/>
      </c>
      <c r="R475" s="194" t="str">
        <f t="shared" si="72"/>
        <v/>
      </c>
      <c r="S475" s="195" t="str">
        <f t="shared" si="74"/>
        <v/>
      </c>
      <c r="T475" s="196" t="str">
        <f t="shared" si="75"/>
        <v/>
      </c>
      <c r="U475" s="197" t="str">
        <f t="shared" si="76"/>
        <v/>
      </c>
      <c r="V475" s="198" t="str">
        <f t="shared" si="73"/>
        <v/>
      </c>
      <c r="W475" s="339" t="str">
        <f t="shared" si="77"/>
        <v/>
      </c>
      <c r="X475" s="341" t="str">
        <f t="shared" si="78"/>
        <v/>
      </c>
      <c r="Y475" s="277"/>
      <c r="AR475" t="str">
        <f t="shared" si="79"/>
        <v/>
      </c>
      <c r="AS475" t="str">
        <f t="shared" si="80"/>
        <v/>
      </c>
    </row>
    <row r="476" spans="1:45">
      <c r="A476" s="294"/>
      <c r="B476" s="295"/>
      <c r="C476" s="296"/>
      <c r="D476" s="296"/>
      <c r="E476" s="296"/>
      <c r="F476" s="296"/>
      <c r="G476" s="297"/>
      <c r="H476" s="303"/>
      <c r="I476" s="298"/>
      <c r="J476" s="298"/>
      <c r="K476" s="299"/>
      <c r="L476" s="304"/>
      <c r="M476" s="300"/>
      <c r="N476" s="301"/>
      <c r="P476" s="193" t="str">
        <f>IF(R476 = "", "", COUNT(R$4:$R476))</f>
        <v/>
      </c>
      <c r="Q476" s="193" t="str">
        <f t="shared" si="71"/>
        <v/>
      </c>
      <c r="R476" s="194" t="str">
        <f t="shared" si="72"/>
        <v/>
      </c>
      <c r="S476" s="195" t="str">
        <f t="shared" si="74"/>
        <v/>
      </c>
      <c r="T476" s="196" t="str">
        <f t="shared" si="75"/>
        <v/>
      </c>
      <c r="U476" s="197" t="str">
        <f t="shared" si="76"/>
        <v/>
      </c>
      <c r="V476" s="198" t="str">
        <f t="shared" si="73"/>
        <v/>
      </c>
      <c r="W476" s="339" t="str">
        <f t="shared" si="77"/>
        <v/>
      </c>
      <c r="X476" s="341" t="str">
        <f t="shared" si="78"/>
        <v/>
      </c>
      <c r="Y476" s="277"/>
      <c r="AR476" t="str">
        <f t="shared" si="79"/>
        <v/>
      </c>
      <c r="AS476" t="str">
        <f t="shared" si="80"/>
        <v/>
      </c>
    </row>
    <row r="477" spans="1:45">
      <c r="A477" s="294"/>
      <c r="B477" s="295"/>
      <c r="C477" s="296"/>
      <c r="D477" s="296"/>
      <c r="E477" s="296"/>
      <c r="F477" s="296"/>
      <c r="G477" s="297"/>
      <c r="H477" s="303"/>
      <c r="I477" s="298"/>
      <c r="J477" s="298"/>
      <c r="K477" s="299"/>
      <c r="L477" s="304"/>
      <c r="M477" s="300"/>
      <c r="N477" s="301"/>
      <c r="P477" s="193" t="str">
        <f>IF(R477 = "", "", COUNT(R$4:$R477))</f>
        <v/>
      </c>
      <c r="Q477" s="193" t="str">
        <f t="shared" si="71"/>
        <v/>
      </c>
      <c r="R477" s="194" t="str">
        <f t="shared" si="72"/>
        <v/>
      </c>
      <c r="S477" s="195" t="str">
        <f t="shared" si="74"/>
        <v/>
      </c>
      <c r="T477" s="196" t="str">
        <f t="shared" si="75"/>
        <v/>
      </c>
      <c r="U477" s="197" t="str">
        <f t="shared" si="76"/>
        <v/>
      </c>
      <c r="V477" s="198" t="str">
        <f t="shared" si="73"/>
        <v/>
      </c>
      <c r="W477" s="339" t="str">
        <f t="shared" si="77"/>
        <v/>
      </c>
      <c r="X477" s="341" t="str">
        <f t="shared" si="78"/>
        <v/>
      </c>
      <c r="Y477" s="277"/>
      <c r="AR477" t="str">
        <f t="shared" si="79"/>
        <v/>
      </c>
      <c r="AS477" t="str">
        <f t="shared" si="80"/>
        <v/>
      </c>
    </row>
    <row r="478" spans="1:45">
      <c r="A478" s="294"/>
      <c r="B478" s="295"/>
      <c r="C478" s="296"/>
      <c r="D478" s="296"/>
      <c r="E478" s="296"/>
      <c r="F478" s="296"/>
      <c r="G478" s="297"/>
      <c r="H478" s="303"/>
      <c r="I478" s="298"/>
      <c r="J478" s="298"/>
      <c r="K478" s="299"/>
      <c r="L478" s="304"/>
      <c r="M478" s="300"/>
      <c r="N478" s="301"/>
      <c r="P478" s="193" t="str">
        <f>IF(R478 = "", "", COUNT(R$4:$R478))</f>
        <v/>
      </c>
      <c r="Q478" s="193" t="str">
        <f t="shared" si="71"/>
        <v/>
      </c>
      <c r="R478" s="194" t="str">
        <f t="shared" si="72"/>
        <v/>
      </c>
      <c r="S478" s="195" t="str">
        <f t="shared" si="74"/>
        <v/>
      </c>
      <c r="T478" s="196" t="str">
        <f t="shared" si="75"/>
        <v/>
      </c>
      <c r="U478" s="197" t="str">
        <f t="shared" si="76"/>
        <v/>
      </c>
      <c r="V478" s="198" t="str">
        <f t="shared" si="73"/>
        <v/>
      </c>
      <c r="W478" s="339" t="str">
        <f t="shared" si="77"/>
        <v/>
      </c>
      <c r="X478" s="341" t="str">
        <f t="shared" si="78"/>
        <v/>
      </c>
      <c r="Y478" s="277"/>
      <c r="AR478" t="str">
        <f t="shared" si="79"/>
        <v/>
      </c>
      <c r="AS478" t="str">
        <f t="shared" si="80"/>
        <v/>
      </c>
    </row>
    <row r="479" spans="1:45">
      <c r="A479" s="294"/>
      <c r="B479" s="295"/>
      <c r="C479" s="296"/>
      <c r="D479" s="296"/>
      <c r="E479" s="296"/>
      <c r="F479" s="296"/>
      <c r="G479" s="297"/>
      <c r="H479" s="303"/>
      <c r="I479" s="298"/>
      <c r="J479" s="298"/>
      <c r="K479" s="299"/>
      <c r="L479" s="304"/>
      <c r="M479" s="300"/>
      <c r="N479" s="301"/>
      <c r="P479" s="193" t="str">
        <f>IF(R479 = "", "", COUNT(R$4:$R479))</f>
        <v/>
      </c>
      <c r="Q479" s="193" t="str">
        <f t="shared" si="71"/>
        <v/>
      </c>
      <c r="R479" s="194" t="str">
        <f t="shared" si="72"/>
        <v/>
      </c>
      <c r="S479" s="195" t="str">
        <f t="shared" si="74"/>
        <v/>
      </c>
      <c r="T479" s="196" t="str">
        <f t="shared" si="75"/>
        <v/>
      </c>
      <c r="U479" s="197" t="str">
        <f t="shared" si="76"/>
        <v/>
      </c>
      <c r="V479" s="198" t="str">
        <f t="shared" si="73"/>
        <v/>
      </c>
      <c r="W479" s="339" t="str">
        <f t="shared" si="77"/>
        <v/>
      </c>
      <c r="X479" s="341" t="str">
        <f t="shared" si="78"/>
        <v/>
      </c>
      <c r="Y479" s="277"/>
      <c r="AR479" t="str">
        <f t="shared" si="79"/>
        <v/>
      </c>
      <c r="AS479" t="str">
        <f t="shared" si="80"/>
        <v/>
      </c>
    </row>
    <row r="480" spans="1:45">
      <c r="A480" s="294"/>
      <c r="B480" s="295"/>
      <c r="C480" s="296"/>
      <c r="D480" s="296"/>
      <c r="E480" s="296"/>
      <c r="F480" s="296"/>
      <c r="G480" s="297"/>
      <c r="H480" s="303"/>
      <c r="I480" s="298"/>
      <c r="J480" s="298"/>
      <c r="K480" s="299"/>
      <c r="L480" s="304"/>
      <c r="M480" s="300"/>
      <c r="N480" s="301"/>
      <c r="P480" s="193" t="str">
        <f>IF(R480 = "", "", COUNT(R$4:$R480))</f>
        <v/>
      </c>
      <c r="Q480" s="193" t="str">
        <f t="shared" si="71"/>
        <v/>
      </c>
      <c r="R480" s="194" t="str">
        <f t="shared" si="72"/>
        <v/>
      </c>
      <c r="S480" s="195" t="str">
        <f t="shared" si="74"/>
        <v/>
      </c>
      <c r="T480" s="196" t="str">
        <f t="shared" si="75"/>
        <v/>
      </c>
      <c r="U480" s="197" t="str">
        <f t="shared" si="76"/>
        <v/>
      </c>
      <c r="V480" s="198" t="str">
        <f t="shared" si="73"/>
        <v/>
      </c>
      <c r="W480" s="339" t="str">
        <f t="shared" si="77"/>
        <v/>
      </c>
      <c r="X480" s="341" t="str">
        <f t="shared" si="78"/>
        <v/>
      </c>
      <c r="Y480" s="277"/>
      <c r="AR480" t="str">
        <f t="shared" si="79"/>
        <v/>
      </c>
      <c r="AS480" t="str">
        <f t="shared" si="80"/>
        <v/>
      </c>
    </row>
    <row r="481" spans="1:45">
      <c r="A481" s="294"/>
      <c r="B481" s="295"/>
      <c r="C481" s="296"/>
      <c r="D481" s="296"/>
      <c r="E481" s="296"/>
      <c r="F481" s="296"/>
      <c r="G481" s="297"/>
      <c r="H481" s="303"/>
      <c r="I481" s="298"/>
      <c r="J481" s="298"/>
      <c r="K481" s="299"/>
      <c r="L481" s="304"/>
      <c r="M481" s="300"/>
      <c r="N481" s="301"/>
      <c r="P481" s="193" t="str">
        <f>IF(R481 = "", "", COUNT(R$4:$R481))</f>
        <v/>
      </c>
      <c r="Q481" s="193" t="str">
        <f t="shared" si="71"/>
        <v/>
      </c>
      <c r="R481" s="194" t="str">
        <f t="shared" si="72"/>
        <v/>
      </c>
      <c r="S481" s="195" t="str">
        <f t="shared" si="74"/>
        <v/>
      </c>
      <c r="T481" s="196" t="str">
        <f t="shared" si="75"/>
        <v/>
      </c>
      <c r="U481" s="197" t="str">
        <f t="shared" si="76"/>
        <v/>
      </c>
      <c r="V481" s="198" t="str">
        <f t="shared" si="73"/>
        <v/>
      </c>
      <c r="W481" s="339" t="str">
        <f t="shared" si="77"/>
        <v/>
      </c>
      <c r="X481" s="341" t="str">
        <f t="shared" si="78"/>
        <v/>
      </c>
      <c r="Y481" s="277"/>
      <c r="AR481" t="str">
        <f t="shared" si="79"/>
        <v/>
      </c>
      <c r="AS481" t="str">
        <f t="shared" si="80"/>
        <v/>
      </c>
    </row>
    <row r="482" spans="1:45">
      <c r="A482" s="294"/>
      <c r="B482" s="295"/>
      <c r="C482" s="296"/>
      <c r="D482" s="296"/>
      <c r="E482" s="296"/>
      <c r="F482" s="296"/>
      <c r="G482" s="297"/>
      <c r="H482" s="303"/>
      <c r="I482" s="298"/>
      <c r="J482" s="298"/>
      <c r="K482" s="299"/>
      <c r="L482" s="304"/>
      <c r="M482" s="300"/>
      <c r="N482" s="301"/>
      <c r="P482" s="193" t="str">
        <f>IF(R482 = "", "", COUNT(R$4:$R482))</f>
        <v/>
      </c>
      <c r="Q482" s="193" t="str">
        <f t="shared" si="71"/>
        <v/>
      </c>
      <c r="R482" s="194" t="str">
        <f t="shared" si="72"/>
        <v/>
      </c>
      <c r="S482" s="195" t="str">
        <f t="shared" si="74"/>
        <v/>
      </c>
      <c r="T482" s="196" t="str">
        <f t="shared" si="75"/>
        <v/>
      </c>
      <c r="U482" s="197" t="str">
        <f t="shared" si="76"/>
        <v/>
      </c>
      <c r="V482" s="198" t="str">
        <f t="shared" si="73"/>
        <v/>
      </c>
      <c r="W482" s="339" t="str">
        <f t="shared" si="77"/>
        <v/>
      </c>
      <c r="X482" s="341" t="str">
        <f t="shared" si="78"/>
        <v/>
      </c>
      <c r="Y482" s="277"/>
      <c r="AR482" t="str">
        <f t="shared" si="79"/>
        <v/>
      </c>
      <c r="AS482" t="str">
        <f t="shared" si="80"/>
        <v/>
      </c>
    </row>
    <row r="483" spans="1:45">
      <c r="A483" s="294"/>
      <c r="B483" s="295"/>
      <c r="C483" s="296"/>
      <c r="D483" s="296"/>
      <c r="E483" s="296"/>
      <c r="F483" s="296"/>
      <c r="G483" s="297"/>
      <c r="H483" s="303"/>
      <c r="I483" s="298"/>
      <c r="J483" s="298"/>
      <c r="K483" s="299"/>
      <c r="L483" s="304"/>
      <c r="M483" s="300"/>
      <c r="N483" s="301"/>
      <c r="P483" s="193" t="str">
        <f>IF(R483 = "", "", COUNT(R$4:$R483))</f>
        <v/>
      </c>
      <c r="Q483" s="193" t="str">
        <f t="shared" si="71"/>
        <v/>
      </c>
      <c r="R483" s="194" t="str">
        <f t="shared" si="72"/>
        <v/>
      </c>
      <c r="S483" s="195" t="str">
        <f t="shared" si="74"/>
        <v/>
      </c>
      <c r="T483" s="196" t="str">
        <f t="shared" si="75"/>
        <v/>
      </c>
      <c r="U483" s="197" t="str">
        <f t="shared" si="76"/>
        <v/>
      </c>
      <c r="V483" s="198" t="str">
        <f t="shared" si="73"/>
        <v/>
      </c>
      <c r="W483" s="339" t="str">
        <f t="shared" si="77"/>
        <v/>
      </c>
      <c r="X483" s="341" t="str">
        <f t="shared" si="78"/>
        <v/>
      </c>
      <c r="Y483" s="277"/>
      <c r="AR483" t="str">
        <f t="shared" si="79"/>
        <v/>
      </c>
      <c r="AS483" t="str">
        <f t="shared" si="80"/>
        <v/>
      </c>
    </row>
    <row r="484" spans="1:45">
      <c r="A484" s="294"/>
      <c r="B484" s="295"/>
      <c r="C484" s="296"/>
      <c r="D484" s="296"/>
      <c r="E484" s="296"/>
      <c r="F484" s="296"/>
      <c r="G484" s="297"/>
      <c r="H484" s="303"/>
      <c r="I484" s="298"/>
      <c r="J484" s="298"/>
      <c r="K484" s="299"/>
      <c r="L484" s="304"/>
      <c r="M484" s="300"/>
      <c r="N484" s="301"/>
      <c r="P484" s="193" t="str">
        <f>IF(R484 = "", "", COUNT(R$4:$R484))</f>
        <v/>
      </c>
      <c r="Q484" s="193" t="str">
        <f t="shared" si="71"/>
        <v/>
      </c>
      <c r="R484" s="194" t="str">
        <f t="shared" si="72"/>
        <v/>
      </c>
      <c r="S484" s="195" t="str">
        <f t="shared" si="74"/>
        <v/>
      </c>
      <c r="T484" s="196" t="str">
        <f t="shared" si="75"/>
        <v/>
      </c>
      <c r="U484" s="197" t="str">
        <f t="shared" si="76"/>
        <v/>
      </c>
      <c r="V484" s="198" t="str">
        <f t="shared" si="73"/>
        <v/>
      </c>
      <c r="W484" s="339" t="str">
        <f t="shared" si="77"/>
        <v/>
      </c>
      <c r="X484" s="341" t="str">
        <f t="shared" si="78"/>
        <v/>
      </c>
      <c r="Y484" s="277"/>
      <c r="AR484" t="str">
        <f t="shared" si="79"/>
        <v/>
      </c>
      <c r="AS484" t="str">
        <f t="shared" si="80"/>
        <v/>
      </c>
    </row>
    <row r="485" spans="1:45">
      <c r="A485" s="294"/>
      <c r="B485" s="295"/>
      <c r="C485" s="296"/>
      <c r="D485" s="296"/>
      <c r="E485" s="296"/>
      <c r="F485" s="296"/>
      <c r="G485" s="297"/>
      <c r="H485" s="303"/>
      <c r="I485" s="298"/>
      <c r="J485" s="298"/>
      <c r="K485" s="299"/>
      <c r="L485" s="304"/>
      <c r="M485" s="300"/>
      <c r="N485" s="301"/>
      <c r="P485" s="193" t="str">
        <f>IF(R485 = "", "", COUNT(R$4:$R485))</f>
        <v/>
      </c>
      <c r="Q485" s="193" t="str">
        <f t="shared" si="71"/>
        <v/>
      </c>
      <c r="R485" s="194" t="str">
        <f t="shared" si="72"/>
        <v/>
      </c>
      <c r="S485" s="195" t="str">
        <f t="shared" si="74"/>
        <v/>
      </c>
      <c r="T485" s="196" t="str">
        <f t="shared" si="75"/>
        <v/>
      </c>
      <c r="U485" s="197" t="str">
        <f t="shared" si="76"/>
        <v/>
      </c>
      <c r="V485" s="198" t="str">
        <f t="shared" si="73"/>
        <v/>
      </c>
      <c r="W485" s="339" t="str">
        <f t="shared" si="77"/>
        <v/>
      </c>
      <c r="X485" s="341" t="str">
        <f t="shared" si="78"/>
        <v/>
      </c>
      <c r="Y485" s="277"/>
      <c r="AR485" t="str">
        <f t="shared" si="79"/>
        <v/>
      </c>
      <c r="AS485" t="str">
        <f t="shared" si="80"/>
        <v/>
      </c>
    </row>
    <row r="486" spans="1:45">
      <c r="A486" s="294"/>
      <c r="B486" s="295"/>
      <c r="C486" s="296"/>
      <c r="D486" s="296"/>
      <c r="E486" s="296"/>
      <c r="F486" s="296"/>
      <c r="G486" s="297"/>
      <c r="H486" s="303"/>
      <c r="I486" s="298"/>
      <c r="J486" s="298"/>
      <c r="K486" s="299"/>
      <c r="L486" s="304"/>
      <c r="M486" s="300"/>
      <c r="N486" s="301"/>
      <c r="P486" s="193" t="str">
        <f>IF(R486 = "", "", COUNT(R$4:$R486))</f>
        <v/>
      </c>
      <c r="Q486" s="193" t="str">
        <f t="shared" si="71"/>
        <v/>
      </c>
      <c r="R486" s="194" t="str">
        <f t="shared" si="72"/>
        <v/>
      </c>
      <c r="S486" s="195" t="str">
        <f t="shared" si="74"/>
        <v/>
      </c>
      <c r="T486" s="196" t="str">
        <f t="shared" si="75"/>
        <v/>
      </c>
      <c r="U486" s="197" t="str">
        <f t="shared" si="76"/>
        <v/>
      </c>
      <c r="V486" s="198" t="str">
        <f t="shared" si="73"/>
        <v/>
      </c>
      <c r="W486" s="339" t="str">
        <f t="shared" si="77"/>
        <v/>
      </c>
      <c r="X486" s="341" t="str">
        <f t="shared" si="78"/>
        <v/>
      </c>
      <c r="Y486" s="277"/>
      <c r="AR486" t="str">
        <f t="shared" si="79"/>
        <v/>
      </c>
      <c r="AS486" t="str">
        <f t="shared" si="80"/>
        <v/>
      </c>
    </row>
    <row r="487" spans="1:45">
      <c r="A487" s="294"/>
      <c r="B487" s="295"/>
      <c r="C487" s="296"/>
      <c r="D487" s="296"/>
      <c r="E487" s="296"/>
      <c r="F487" s="296"/>
      <c r="G487" s="297"/>
      <c r="H487" s="303"/>
      <c r="I487" s="298"/>
      <c r="J487" s="298"/>
      <c r="K487" s="299"/>
      <c r="L487" s="304"/>
      <c r="M487" s="300"/>
      <c r="N487" s="301"/>
      <c r="P487" s="193" t="str">
        <f>IF(R487 = "", "", COUNT(R$4:$R487))</f>
        <v/>
      </c>
      <c r="Q487" s="193" t="str">
        <f t="shared" si="71"/>
        <v/>
      </c>
      <c r="R487" s="194" t="str">
        <f t="shared" si="72"/>
        <v/>
      </c>
      <c r="S487" s="195" t="str">
        <f t="shared" si="74"/>
        <v/>
      </c>
      <c r="T487" s="196" t="str">
        <f t="shared" si="75"/>
        <v/>
      </c>
      <c r="U487" s="197" t="str">
        <f t="shared" si="76"/>
        <v/>
      </c>
      <c r="V487" s="198" t="str">
        <f t="shared" si="73"/>
        <v/>
      </c>
      <c r="W487" s="339" t="str">
        <f t="shared" si="77"/>
        <v/>
      </c>
      <c r="X487" s="341" t="str">
        <f t="shared" si="78"/>
        <v/>
      </c>
      <c r="Y487" s="277"/>
      <c r="AR487" t="str">
        <f t="shared" si="79"/>
        <v/>
      </c>
      <c r="AS487" t="str">
        <f t="shared" si="80"/>
        <v/>
      </c>
    </row>
    <row r="488" spans="1:45">
      <c r="A488" s="294"/>
      <c r="B488" s="295"/>
      <c r="C488" s="296"/>
      <c r="D488" s="296"/>
      <c r="E488" s="296"/>
      <c r="F488" s="296"/>
      <c r="G488" s="297"/>
      <c r="H488" s="303"/>
      <c r="I488" s="298"/>
      <c r="J488" s="298"/>
      <c r="K488" s="299"/>
      <c r="L488" s="304"/>
      <c r="M488" s="300"/>
      <c r="N488" s="301"/>
      <c r="P488" s="193" t="str">
        <f>IF(R488 = "", "", COUNT(R$4:$R488))</f>
        <v/>
      </c>
      <c r="Q488" s="193" t="str">
        <f t="shared" si="71"/>
        <v/>
      </c>
      <c r="R488" s="194" t="str">
        <f t="shared" si="72"/>
        <v/>
      </c>
      <c r="S488" s="195" t="str">
        <f t="shared" si="74"/>
        <v/>
      </c>
      <c r="T488" s="196" t="str">
        <f t="shared" si="75"/>
        <v/>
      </c>
      <c r="U488" s="197" t="str">
        <f t="shared" si="76"/>
        <v/>
      </c>
      <c r="V488" s="198" t="str">
        <f t="shared" si="73"/>
        <v/>
      </c>
      <c r="W488" s="339" t="str">
        <f t="shared" si="77"/>
        <v/>
      </c>
      <c r="X488" s="341" t="str">
        <f t="shared" si="78"/>
        <v/>
      </c>
      <c r="Y488" s="277"/>
      <c r="AR488" t="str">
        <f t="shared" si="79"/>
        <v/>
      </c>
      <c r="AS488" t="str">
        <f t="shared" si="80"/>
        <v/>
      </c>
    </row>
    <row r="489" spans="1:45">
      <c r="A489" s="294"/>
      <c r="B489" s="295"/>
      <c r="C489" s="296"/>
      <c r="D489" s="296"/>
      <c r="E489" s="296"/>
      <c r="F489" s="296"/>
      <c r="G489" s="297"/>
      <c r="H489" s="303"/>
      <c r="I489" s="298"/>
      <c r="J489" s="298"/>
      <c r="K489" s="299"/>
      <c r="L489" s="304"/>
      <c r="M489" s="300"/>
      <c r="N489" s="301"/>
      <c r="P489" s="193" t="str">
        <f>IF(R489 = "", "", COUNT(R$4:$R489))</f>
        <v/>
      </c>
      <c r="Q489" s="193" t="str">
        <f t="shared" si="71"/>
        <v/>
      </c>
      <c r="R489" s="194" t="str">
        <f t="shared" si="72"/>
        <v/>
      </c>
      <c r="S489" s="195" t="str">
        <f t="shared" si="74"/>
        <v/>
      </c>
      <c r="T489" s="196" t="str">
        <f t="shared" si="75"/>
        <v/>
      </c>
      <c r="U489" s="197" t="str">
        <f t="shared" si="76"/>
        <v/>
      </c>
      <c r="V489" s="198" t="str">
        <f t="shared" si="73"/>
        <v/>
      </c>
      <c r="W489" s="339" t="str">
        <f t="shared" si="77"/>
        <v/>
      </c>
      <c r="X489" s="341" t="str">
        <f t="shared" si="78"/>
        <v/>
      </c>
      <c r="Y489" s="277"/>
      <c r="AR489" t="str">
        <f t="shared" si="79"/>
        <v/>
      </c>
      <c r="AS489" t="str">
        <f t="shared" si="80"/>
        <v/>
      </c>
    </row>
    <row r="490" spans="1:45">
      <c r="A490" s="294"/>
      <c r="B490" s="295"/>
      <c r="C490" s="296"/>
      <c r="D490" s="296"/>
      <c r="E490" s="296"/>
      <c r="F490" s="296"/>
      <c r="G490" s="297"/>
      <c r="H490" s="303"/>
      <c r="I490" s="298"/>
      <c r="J490" s="298"/>
      <c r="K490" s="299"/>
      <c r="L490" s="304"/>
      <c r="M490" s="300"/>
      <c r="N490" s="301"/>
      <c r="P490" s="193" t="str">
        <f>IF(R490 = "", "", COUNT(R$4:$R490))</f>
        <v/>
      </c>
      <c r="Q490" s="193" t="str">
        <f t="shared" si="71"/>
        <v/>
      </c>
      <c r="R490" s="194" t="str">
        <f t="shared" si="72"/>
        <v/>
      </c>
      <c r="S490" s="195" t="str">
        <f t="shared" si="74"/>
        <v/>
      </c>
      <c r="T490" s="196" t="str">
        <f t="shared" si="75"/>
        <v/>
      </c>
      <c r="U490" s="197" t="str">
        <f t="shared" si="76"/>
        <v/>
      </c>
      <c r="V490" s="198" t="str">
        <f t="shared" si="73"/>
        <v/>
      </c>
      <c r="W490" s="339" t="str">
        <f t="shared" si="77"/>
        <v/>
      </c>
      <c r="X490" s="341" t="str">
        <f t="shared" si="78"/>
        <v/>
      </c>
      <c r="Y490" s="277"/>
      <c r="AR490" t="str">
        <f t="shared" si="79"/>
        <v/>
      </c>
      <c r="AS490" t="str">
        <f t="shared" si="80"/>
        <v/>
      </c>
    </row>
    <row r="491" spans="1:45">
      <c r="A491" s="294"/>
      <c r="B491" s="295"/>
      <c r="C491" s="296"/>
      <c r="D491" s="296"/>
      <c r="E491" s="296"/>
      <c r="F491" s="296"/>
      <c r="G491" s="297"/>
      <c r="H491" s="303"/>
      <c r="I491" s="298"/>
      <c r="J491" s="298"/>
      <c r="K491" s="299"/>
      <c r="L491" s="304"/>
      <c r="M491" s="300"/>
      <c r="N491" s="301"/>
      <c r="P491" s="193" t="str">
        <f>IF(R491 = "", "", COUNT(R$4:$R491))</f>
        <v/>
      </c>
      <c r="Q491" s="193" t="str">
        <f t="shared" si="71"/>
        <v/>
      </c>
      <c r="R491" s="194" t="str">
        <f t="shared" si="72"/>
        <v/>
      </c>
      <c r="S491" s="195" t="str">
        <f t="shared" si="74"/>
        <v/>
      </c>
      <c r="T491" s="196" t="str">
        <f t="shared" si="75"/>
        <v/>
      </c>
      <c r="U491" s="197" t="str">
        <f t="shared" si="76"/>
        <v/>
      </c>
      <c r="V491" s="198" t="str">
        <f t="shared" si="73"/>
        <v/>
      </c>
      <c r="W491" s="339" t="str">
        <f t="shared" si="77"/>
        <v/>
      </c>
      <c r="X491" s="341" t="str">
        <f t="shared" si="78"/>
        <v/>
      </c>
      <c r="Y491" s="277"/>
      <c r="AR491" t="str">
        <f t="shared" si="79"/>
        <v/>
      </c>
      <c r="AS491" t="str">
        <f t="shared" si="80"/>
        <v/>
      </c>
    </row>
    <row r="492" spans="1:45">
      <c r="A492" s="294"/>
      <c r="B492" s="295"/>
      <c r="C492" s="296"/>
      <c r="D492" s="296"/>
      <c r="E492" s="296"/>
      <c r="F492" s="296"/>
      <c r="G492" s="297"/>
      <c r="H492" s="303"/>
      <c r="I492" s="298"/>
      <c r="J492" s="298"/>
      <c r="K492" s="299"/>
      <c r="L492" s="304"/>
      <c r="M492" s="300"/>
      <c r="N492" s="301"/>
      <c r="P492" s="193" t="str">
        <f>IF(R492 = "", "", COUNT(R$4:$R492))</f>
        <v/>
      </c>
      <c r="Q492" s="193" t="str">
        <f t="shared" si="71"/>
        <v/>
      </c>
      <c r="R492" s="194" t="str">
        <f t="shared" si="72"/>
        <v/>
      </c>
      <c r="S492" s="195" t="str">
        <f t="shared" si="74"/>
        <v/>
      </c>
      <c r="T492" s="196" t="str">
        <f t="shared" si="75"/>
        <v/>
      </c>
      <c r="U492" s="197" t="str">
        <f t="shared" si="76"/>
        <v/>
      </c>
      <c r="V492" s="198" t="str">
        <f t="shared" si="73"/>
        <v/>
      </c>
      <c r="W492" s="339" t="str">
        <f t="shared" si="77"/>
        <v/>
      </c>
      <c r="X492" s="341" t="str">
        <f t="shared" si="78"/>
        <v/>
      </c>
      <c r="Y492" s="277"/>
      <c r="AR492" t="str">
        <f t="shared" si="79"/>
        <v/>
      </c>
      <c r="AS492" t="str">
        <f t="shared" si="80"/>
        <v/>
      </c>
    </row>
    <row r="493" spans="1:45">
      <c r="A493" s="294"/>
      <c r="B493" s="295"/>
      <c r="C493" s="296"/>
      <c r="D493" s="296"/>
      <c r="E493" s="296"/>
      <c r="F493" s="296"/>
      <c r="G493" s="297"/>
      <c r="H493" s="303"/>
      <c r="I493" s="298"/>
      <c r="J493" s="298"/>
      <c r="K493" s="299"/>
      <c r="L493" s="304"/>
      <c r="M493" s="300"/>
      <c r="N493" s="301"/>
      <c r="P493" s="193" t="str">
        <f>IF(R493 = "", "", COUNT(R$4:$R493))</f>
        <v/>
      </c>
      <c r="Q493" s="193" t="str">
        <f t="shared" si="71"/>
        <v/>
      </c>
      <c r="R493" s="194" t="str">
        <f t="shared" si="72"/>
        <v/>
      </c>
      <c r="S493" s="195" t="str">
        <f t="shared" si="74"/>
        <v/>
      </c>
      <c r="T493" s="196" t="str">
        <f t="shared" si="75"/>
        <v/>
      </c>
      <c r="U493" s="197" t="str">
        <f t="shared" si="76"/>
        <v/>
      </c>
      <c r="V493" s="198" t="str">
        <f t="shared" si="73"/>
        <v/>
      </c>
      <c r="W493" s="339" t="str">
        <f t="shared" si="77"/>
        <v/>
      </c>
      <c r="X493" s="341" t="str">
        <f t="shared" si="78"/>
        <v/>
      </c>
      <c r="Y493" s="277"/>
      <c r="AR493" t="str">
        <f t="shared" si="79"/>
        <v/>
      </c>
      <c r="AS493" t="str">
        <f t="shared" si="80"/>
        <v/>
      </c>
    </row>
    <row r="494" spans="1:45">
      <c r="A494" s="294"/>
      <c r="B494" s="295"/>
      <c r="C494" s="296"/>
      <c r="D494" s="296"/>
      <c r="E494" s="296"/>
      <c r="F494" s="296"/>
      <c r="G494" s="297"/>
      <c r="H494" s="303"/>
      <c r="I494" s="298"/>
      <c r="J494" s="298"/>
      <c r="K494" s="299"/>
      <c r="L494" s="304"/>
      <c r="M494" s="300"/>
      <c r="N494" s="301"/>
      <c r="P494" s="193" t="str">
        <f>IF(R494 = "", "", COUNT(R$4:$R494))</f>
        <v/>
      </c>
      <c r="Q494" s="193" t="str">
        <f t="shared" si="71"/>
        <v/>
      </c>
      <c r="R494" s="194" t="str">
        <f t="shared" si="72"/>
        <v/>
      </c>
      <c r="S494" s="195" t="str">
        <f t="shared" si="74"/>
        <v/>
      </c>
      <c r="T494" s="196" t="str">
        <f t="shared" si="75"/>
        <v/>
      </c>
      <c r="U494" s="197" t="str">
        <f t="shared" si="76"/>
        <v/>
      </c>
      <c r="V494" s="198" t="str">
        <f t="shared" si="73"/>
        <v/>
      </c>
      <c r="W494" s="339" t="str">
        <f t="shared" si="77"/>
        <v/>
      </c>
      <c r="X494" s="341" t="str">
        <f t="shared" si="78"/>
        <v/>
      </c>
      <c r="Y494" s="277"/>
      <c r="AR494" t="str">
        <f t="shared" si="79"/>
        <v/>
      </c>
      <c r="AS494" t="str">
        <f t="shared" si="80"/>
        <v/>
      </c>
    </row>
    <row r="495" spans="1:45">
      <c r="A495" s="294"/>
      <c r="B495" s="295"/>
      <c r="C495" s="296"/>
      <c r="D495" s="296"/>
      <c r="E495" s="296"/>
      <c r="F495" s="296"/>
      <c r="G495" s="297"/>
      <c r="H495" s="303"/>
      <c r="I495" s="298"/>
      <c r="J495" s="298"/>
      <c r="K495" s="299"/>
      <c r="L495" s="304"/>
      <c r="M495" s="300"/>
      <c r="N495" s="301"/>
      <c r="P495" s="193" t="str">
        <f>IF(R495 = "", "", COUNT(R$4:$R495))</f>
        <v/>
      </c>
      <c r="Q495" s="193" t="str">
        <f t="shared" si="71"/>
        <v/>
      </c>
      <c r="R495" s="194" t="str">
        <f t="shared" si="72"/>
        <v/>
      </c>
      <c r="S495" s="195" t="str">
        <f t="shared" si="74"/>
        <v/>
      </c>
      <c r="T495" s="196" t="str">
        <f t="shared" si="75"/>
        <v/>
      </c>
      <c r="U495" s="197" t="str">
        <f t="shared" si="76"/>
        <v/>
      </c>
      <c r="V495" s="198" t="str">
        <f t="shared" si="73"/>
        <v/>
      </c>
      <c r="W495" s="339" t="str">
        <f t="shared" si="77"/>
        <v/>
      </c>
      <c r="X495" s="341" t="str">
        <f t="shared" si="78"/>
        <v/>
      </c>
      <c r="Y495" s="277"/>
      <c r="AR495" t="str">
        <f t="shared" si="79"/>
        <v/>
      </c>
      <c r="AS495" t="str">
        <f t="shared" si="80"/>
        <v/>
      </c>
    </row>
    <row r="496" spans="1:45">
      <c r="A496" s="294"/>
      <c r="B496" s="295"/>
      <c r="C496" s="296"/>
      <c r="D496" s="296"/>
      <c r="E496" s="296"/>
      <c r="F496" s="296"/>
      <c r="G496" s="297"/>
      <c r="H496" s="303"/>
      <c r="I496" s="298"/>
      <c r="J496" s="298"/>
      <c r="K496" s="299"/>
      <c r="L496" s="304"/>
      <c r="M496" s="300"/>
      <c r="N496" s="301"/>
      <c r="P496" s="193" t="str">
        <f>IF(R496 = "", "", COUNT(R$4:$R496))</f>
        <v/>
      </c>
      <c r="Q496" s="193" t="str">
        <f t="shared" si="71"/>
        <v/>
      </c>
      <c r="R496" s="194" t="str">
        <f t="shared" si="72"/>
        <v/>
      </c>
      <c r="S496" s="195" t="str">
        <f t="shared" si="74"/>
        <v/>
      </c>
      <c r="T496" s="196" t="str">
        <f t="shared" si="75"/>
        <v/>
      </c>
      <c r="U496" s="197" t="str">
        <f t="shared" si="76"/>
        <v/>
      </c>
      <c r="V496" s="198" t="str">
        <f t="shared" si="73"/>
        <v/>
      </c>
      <c r="W496" s="339" t="str">
        <f t="shared" si="77"/>
        <v/>
      </c>
      <c r="X496" s="341" t="str">
        <f t="shared" si="78"/>
        <v/>
      </c>
      <c r="Y496" s="277"/>
      <c r="AR496" t="str">
        <f t="shared" si="79"/>
        <v/>
      </c>
      <c r="AS496" t="str">
        <f t="shared" si="80"/>
        <v/>
      </c>
    </row>
    <row r="497" spans="1:45">
      <c r="A497" s="294"/>
      <c r="B497" s="295"/>
      <c r="C497" s="296"/>
      <c r="D497" s="296"/>
      <c r="E497" s="296"/>
      <c r="F497" s="296"/>
      <c r="G497" s="297"/>
      <c r="H497" s="303"/>
      <c r="I497" s="298"/>
      <c r="J497" s="298"/>
      <c r="K497" s="299"/>
      <c r="L497" s="304"/>
      <c r="M497" s="300"/>
      <c r="N497" s="301"/>
      <c r="P497" s="193" t="str">
        <f>IF(R497 = "", "", COUNT(R$4:$R497))</f>
        <v/>
      </c>
      <c r="Q497" s="193" t="str">
        <f t="shared" si="71"/>
        <v/>
      </c>
      <c r="R497" s="194" t="str">
        <f t="shared" si="72"/>
        <v/>
      </c>
      <c r="S497" s="195" t="str">
        <f t="shared" si="74"/>
        <v/>
      </c>
      <c r="T497" s="196" t="str">
        <f t="shared" si="75"/>
        <v/>
      </c>
      <c r="U497" s="197" t="str">
        <f t="shared" si="76"/>
        <v/>
      </c>
      <c r="V497" s="198" t="str">
        <f t="shared" si="73"/>
        <v/>
      </c>
      <c r="W497" s="339" t="str">
        <f t="shared" si="77"/>
        <v/>
      </c>
      <c r="X497" s="341" t="str">
        <f t="shared" si="78"/>
        <v/>
      </c>
      <c r="Y497" s="277"/>
      <c r="AR497" t="str">
        <f t="shared" si="79"/>
        <v/>
      </c>
      <c r="AS497" t="str">
        <f t="shared" si="80"/>
        <v/>
      </c>
    </row>
    <row r="498" spans="1:45">
      <c r="A498" s="294"/>
      <c r="B498" s="295"/>
      <c r="C498" s="296"/>
      <c r="D498" s="296"/>
      <c r="E498" s="296"/>
      <c r="F498" s="296"/>
      <c r="G498" s="297"/>
      <c r="H498" s="303"/>
      <c r="I498" s="298"/>
      <c r="J498" s="298"/>
      <c r="K498" s="299"/>
      <c r="L498" s="304"/>
      <c r="M498" s="300"/>
      <c r="N498" s="301"/>
      <c r="P498" s="193" t="str">
        <f>IF(R498 = "", "", COUNT(R$4:$R498))</f>
        <v/>
      </c>
      <c r="Q498" s="193" t="str">
        <f t="shared" si="71"/>
        <v/>
      </c>
      <c r="R498" s="194" t="str">
        <f t="shared" si="72"/>
        <v/>
      </c>
      <c r="S498" s="195" t="str">
        <f t="shared" si="74"/>
        <v/>
      </c>
      <c r="T498" s="196" t="str">
        <f t="shared" si="75"/>
        <v/>
      </c>
      <c r="U498" s="197" t="str">
        <f t="shared" si="76"/>
        <v/>
      </c>
      <c r="V498" s="198" t="str">
        <f t="shared" si="73"/>
        <v/>
      </c>
      <c r="W498" s="339" t="str">
        <f t="shared" si="77"/>
        <v/>
      </c>
      <c r="X498" s="341" t="str">
        <f t="shared" si="78"/>
        <v/>
      </c>
      <c r="Y498" s="277"/>
      <c r="AR498" t="str">
        <f t="shared" si="79"/>
        <v/>
      </c>
      <c r="AS498" t="str">
        <f t="shared" si="80"/>
        <v/>
      </c>
    </row>
    <row r="499" spans="1:45">
      <c r="A499" s="294"/>
      <c r="B499" s="295"/>
      <c r="C499" s="296"/>
      <c r="D499" s="296"/>
      <c r="E499" s="296"/>
      <c r="F499" s="296"/>
      <c r="G499" s="297"/>
      <c r="H499" s="303"/>
      <c r="I499" s="298"/>
      <c r="J499" s="298"/>
      <c r="K499" s="299"/>
      <c r="L499" s="304"/>
      <c r="M499" s="300"/>
      <c r="N499" s="301"/>
      <c r="P499" s="193" t="str">
        <f>IF(R499 = "", "", COUNT(R$4:$R499))</f>
        <v/>
      </c>
      <c r="Q499" s="193" t="str">
        <f t="shared" si="71"/>
        <v/>
      </c>
      <c r="R499" s="194" t="str">
        <f t="shared" si="72"/>
        <v/>
      </c>
      <c r="S499" s="195" t="str">
        <f t="shared" si="74"/>
        <v/>
      </c>
      <c r="T499" s="196" t="str">
        <f t="shared" si="75"/>
        <v/>
      </c>
      <c r="U499" s="197" t="str">
        <f t="shared" si="76"/>
        <v/>
      </c>
      <c r="V499" s="198" t="str">
        <f t="shared" si="73"/>
        <v/>
      </c>
      <c r="W499" s="339" t="str">
        <f t="shared" si="77"/>
        <v/>
      </c>
      <c r="X499" s="341" t="str">
        <f t="shared" si="78"/>
        <v/>
      </c>
      <c r="Y499" s="277"/>
      <c r="AR499" t="str">
        <f t="shared" si="79"/>
        <v/>
      </c>
      <c r="AS499" t="str">
        <f t="shared" si="80"/>
        <v/>
      </c>
    </row>
    <row r="500" spans="1:45">
      <c r="A500" s="294"/>
      <c r="B500" s="295"/>
      <c r="C500" s="296"/>
      <c r="D500" s="296"/>
      <c r="E500" s="296"/>
      <c r="F500" s="296"/>
      <c r="G500" s="297"/>
      <c r="H500" s="303"/>
      <c r="I500" s="298"/>
      <c r="J500" s="298"/>
      <c r="K500" s="299"/>
      <c r="L500" s="304"/>
      <c r="M500" s="300"/>
      <c r="N500" s="301"/>
      <c r="P500" s="193" t="str">
        <f>IF(R500 = "", "", COUNT(R$4:$R500))</f>
        <v/>
      </c>
      <c r="Q500" s="193" t="str">
        <f t="shared" si="71"/>
        <v/>
      </c>
      <c r="R500" s="194" t="str">
        <f t="shared" si="72"/>
        <v/>
      </c>
      <c r="S500" s="195" t="str">
        <f t="shared" si="74"/>
        <v/>
      </c>
      <c r="T500" s="196" t="str">
        <f t="shared" si="75"/>
        <v/>
      </c>
      <c r="U500" s="197" t="str">
        <f t="shared" si="76"/>
        <v/>
      </c>
      <c r="V500" s="198" t="str">
        <f t="shared" si="73"/>
        <v/>
      </c>
      <c r="W500" s="339" t="str">
        <f t="shared" si="77"/>
        <v/>
      </c>
      <c r="X500" s="341" t="str">
        <f t="shared" si="78"/>
        <v/>
      </c>
      <c r="Y500" s="277"/>
      <c r="AR500" t="str">
        <f t="shared" si="79"/>
        <v/>
      </c>
      <c r="AS500" t="str">
        <f t="shared" si="80"/>
        <v/>
      </c>
    </row>
    <row r="501" spans="1:45">
      <c r="A501" s="294"/>
      <c r="B501" s="295"/>
      <c r="C501" s="296"/>
      <c r="D501" s="296"/>
      <c r="E501" s="296"/>
      <c r="F501" s="296"/>
      <c r="G501" s="297"/>
      <c r="H501" s="303"/>
      <c r="I501" s="298"/>
      <c r="J501" s="298"/>
      <c r="K501" s="299"/>
      <c r="L501" s="304"/>
      <c r="M501" s="300"/>
      <c r="N501" s="301"/>
      <c r="P501" s="193" t="str">
        <f>IF(R501 = "", "", COUNT(R$4:$R501))</f>
        <v/>
      </c>
      <c r="Q501" s="193" t="str">
        <f t="shared" si="71"/>
        <v/>
      </c>
      <c r="R501" s="194" t="str">
        <f t="shared" si="72"/>
        <v/>
      </c>
      <c r="S501" s="195" t="str">
        <f t="shared" si="74"/>
        <v/>
      </c>
      <c r="T501" s="196" t="str">
        <f t="shared" si="75"/>
        <v/>
      </c>
      <c r="U501" s="197" t="str">
        <f t="shared" si="76"/>
        <v/>
      </c>
      <c r="V501" s="198" t="str">
        <f t="shared" si="73"/>
        <v/>
      </c>
      <c r="W501" s="339" t="str">
        <f t="shared" si="77"/>
        <v/>
      </c>
      <c r="X501" s="341" t="str">
        <f t="shared" si="78"/>
        <v/>
      </c>
      <c r="Y501" s="277"/>
      <c r="AR501" t="str">
        <f t="shared" si="79"/>
        <v/>
      </c>
      <c r="AS501" t="str">
        <f t="shared" si="80"/>
        <v/>
      </c>
    </row>
    <row r="502" spans="1:45">
      <c r="A502" s="294"/>
      <c r="B502" s="295"/>
      <c r="C502" s="296"/>
      <c r="D502" s="296"/>
      <c r="E502" s="296"/>
      <c r="F502" s="296"/>
      <c r="G502" s="297"/>
      <c r="H502" s="303"/>
      <c r="I502" s="298"/>
      <c r="J502" s="298"/>
      <c r="K502" s="299"/>
      <c r="L502" s="304"/>
      <c r="M502" s="300"/>
      <c r="N502" s="301"/>
      <c r="P502" s="193" t="str">
        <f>IF(R502 = "", "", COUNT(R$4:$R502))</f>
        <v/>
      </c>
      <c r="Q502" s="193" t="str">
        <f t="shared" si="71"/>
        <v/>
      </c>
      <c r="R502" s="194" t="str">
        <f t="shared" si="72"/>
        <v/>
      </c>
      <c r="S502" s="195" t="str">
        <f t="shared" si="74"/>
        <v/>
      </c>
      <c r="T502" s="196" t="str">
        <f t="shared" si="75"/>
        <v/>
      </c>
      <c r="U502" s="197" t="str">
        <f t="shared" si="76"/>
        <v/>
      </c>
      <c r="V502" s="198" t="str">
        <f t="shared" si="73"/>
        <v/>
      </c>
      <c r="W502" s="339" t="str">
        <f t="shared" si="77"/>
        <v/>
      </c>
      <c r="X502" s="341" t="str">
        <f t="shared" si="78"/>
        <v/>
      </c>
      <c r="Y502" s="277"/>
      <c r="AR502" t="str">
        <f t="shared" si="79"/>
        <v/>
      </c>
      <c r="AS502" t="str">
        <f t="shared" si="80"/>
        <v/>
      </c>
    </row>
    <row r="503" spans="1:45">
      <c r="A503" s="294"/>
      <c r="B503" s="295"/>
      <c r="C503" s="296"/>
      <c r="D503" s="296"/>
      <c r="E503" s="296"/>
      <c r="F503" s="296"/>
      <c r="G503" s="297"/>
      <c r="H503" s="303"/>
      <c r="I503" s="298"/>
      <c r="J503" s="298"/>
      <c r="K503" s="299"/>
      <c r="L503" s="304"/>
      <c r="M503" s="300"/>
      <c r="N503" s="301"/>
      <c r="P503" s="193" t="str">
        <f>IF(R503 = "", "", COUNT(R$4:$R503))</f>
        <v/>
      </c>
      <c r="Q503" s="193" t="str">
        <f t="shared" si="71"/>
        <v/>
      </c>
      <c r="R503" s="194" t="str">
        <f t="shared" si="72"/>
        <v/>
      </c>
      <c r="S503" s="195" t="str">
        <f t="shared" si="74"/>
        <v/>
      </c>
      <c r="T503" s="196" t="str">
        <f t="shared" si="75"/>
        <v/>
      </c>
      <c r="U503" s="197" t="str">
        <f t="shared" si="76"/>
        <v/>
      </c>
      <c r="V503" s="198" t="str">
        <f t="shared" si="73"/>
        <v/>
      </c>
      <c r="W503" s="339" t="str">
        <f t="shared" si="77"/>
        <v/>
      </c>
      <c r="X503" s="341" t="str">
        <f t="shared" si="78"/>
        <v/>
      </c>
      <c r="Y503" s="277"/>
      <c r="AR503" t="str">
        <f t="shared" si="79"/>
        <v/>
      </c>
      <c r="AS503" t="str">
        <f t="shared" si="80"/>
        <v/>
      </c>
    </row>
    <row r="504" spans="1:45">
      <c r="A504" s="294"/>
      <c r="B504" s="295"/>
      <c r="C504" s="296"/>
      <c r="D504" s="296"/>
      <c r="E504" s="296"/>
      <c r="F504" s="296"/>
      <c r="G504" s="297"/>
      <c r="H504" s="303"/>
      <c r="I504" s="298"/>
      <c r="J504" s="298"/>
      <c r="K504" s="299"/>
      <c r="L504" s="304"/>
      <c r="M504" s="300"/>
      <c r="N504" s="301"/>
      <c r="P504" s="193" t="str">
        <f>IF(R504 = "", "", COUNT(R$4:$R504))</f>
        <v/>
      </c>
      <c r="Q504" s="193" t="str">
        <f t="shared" si="71"/>
        <v/>
      </c>
      <c r="R504" s="194" t="str">
        <f t="shared" si="72"/>
        <v/>
      </c>
      <c r="S504" s="195" t="str">
        <f t="shared" si="74"/>
        <v/>
      </c>
      <c r="T504" s="196" t="str">
        <f t="shared" si="75"/>
        <v/>
      </c>
      <c r="U504" s="197" t="str">
        <f t="shared" si="76"/>
        <v/>
      </c>
      <c r="V504" s="198" t="str">
        <f t="shared" si="73"/>
        <v/>
      </c>
      <c r="W504" s="339" t="str">
        <f t="shared" si="77"/>
        <v/>
      </c>
      <c r="X504" s="341" t="str">
        <f t="shared" si="78"/>
        <v/>
      </c>
      <c r="Y504" s="277"/>
      <c r="AR504" t="str">
        <f t="shared" si="79"/>
        <v/>
      </c>
      <c r="AS504" t="str">
        <f t="shared" si="80"/>
        <v/>
      </c>
    </row>
    <row r="505" spans="1:45">
      <c r="A505" s="294"/>
      <c r="B505" s="295"/>
      <c r="C505" s="296"/>
      <c r="D505" s="296"/>
      <c r="E505" s="296"/>
      <c r="F505" s="296"/>
      <c r="G505" s="297"/>
      <c r="H505" s="303"/>
      <c r="I505" s="298"/>
      <c r="J505" s="298"/>
      <c r="K505" s="299"/>
      <c r="L505" s="304"/>
      <c r="M505" s="300"/>
      <c r="N505" s="301"/>
      <c r="P505" s="193" t="str">
        <f>IF(R505 = "", "", COUNT(R$4:$R505))</f>
        <v/>
      </c>
      <c r="Q505" s="193" t="str">
        <f t="shared" si="71"/>
        <v/>
      </c>
      <c r="R505" s="194" t="str">
        <f t="shared" si="72"/>
        <v/>
      </c>
      <c r="S505" s="195" t="str">
        <f t="shared" si="74"/>
        <v/>
      </c>
      <c r="T505" s="196" t="str">
        <f t="shared" si="75"/>
        <v/>
      </c>
      <c r="U505" s="197" t="str">
        <f t="shared" si="76"/>
        <v/>
      </c>
      <c r="V505" s="198" t="str">
        <f t="shared" si="73"/>
        <v/>
      </c>
      <c r="W505" s="339" t="str">
        <f t="shared" si="77"/>
        <v/>
      </c>
      <c r="X505" s="341" t="str">
        <f t="shared" si="78"/>
        <v/>
      </c>
      <c r="Y505" s="277"/>
      <c r="AR505" t="str">
        <f t="shared" si="79"/>
        <v/>
      </c>
      <c r="AS505" t="str">
        <f t="shared" si="80"/>
        <v/>
      </c>
    </row>
    <row r="506" spans="1:45">
      <c r="A506" s="294"/>
      <c r="B506" s="295"/>
      <c r="C506" s="296"/>
      <c r="D506" s="296"/>
      <c r="E506" s="296"/>
      <c r="F506" s="296"/>
      <c r="G506" s="297"/>
      <c r="H506" s="303"/>
      <c r="I506" s="298"/>
      <c r="J506" s="298"/>
      <c r="K506" s="299"/>
      <c r="L506" s="304"/>
      <c r="M506" s="300"/>
      <c r="N506" s="301"/>
      <c r="P506" s="193" t="str">
        <f>IF(R506 = "", "", COUNT(R$4:$R506))</f>
        <v/>
      </c>
      <c r="Q506" s="193" t="str">
        <f t="shared" si="71"/>
        <v/>
      </c>
      <c r="R506" s="194" t="str">
        <f t="shared" si="72"/>
        <v/>
      </c>
      <c r="S506" s="195" t="str">
        <f t="shared" si="74"/>
        <v/>
      </c>
      <c r="T506" s="196" t="str">
        <f t="shared" si="75"/>
        <v/>
      </c>
      <c r="U506" s="197" t="str">
        <f t="shared" si="76"/>
        <v/>
      </c>
      <c r="V506" s="198" t="str">
        <f t="shared" si="73"/>
        <v/>
      </c>
      <c r="W506" s="339" t="str">
        <f t="shared" si="77"/>
        <v/>
      </c>
      <c r="X506" s="341" t="str">
        <f t="shared" si="78"/>
        <v/>
      </c>
      <c r="Y506" s="277"/>
      <c r="AR506" t="str">
        <f t="shared" si="79"/>
        <v/>
      </c>
      <c r="AS506" t="str">
        <f t="shared" si="80"/>
        <v/>
      </c>
    </row>
    <row r="507" spans="1:45">
      <c r="A507" s="294"/>
      <c r="B507" s="295"/>
      <c r="C507" s="296"/>
      <c r="D507" s="296"/>
      <c r="E507" s="296"/>
      <c r="F507" s="296"/>
      <c r="G507" s="297"/>
      <c r="H507" s="303"/>
      <c r="I507" s="298"/>
      <c r="J507" s="298"/>
      <c r="K507" s="299"/>
      <c r="L507" s="304"/>
      <c r="M507" s="300"/>
      <c r="N507" s="301"/>
      <c r="P507" s="193" t="str">
        <f>IF(R507 = "", "", COUNT(R$4:$R507))</f>
        <v/>
      </c>
      <c r="Q507" s="193" t="str">
        <f t="shared" si="71"/>
        <v/>
      </c>
      <c r="R507" s="194" t="str">
        <f t="shared" si="72"/>
        <v/>
      </c>
      <c r="S507" s="195" t="str">
        <f t="shared" si="74"/>
        <v/>
      </c>
      <c r="T507" s="196" t="str">
        <f t="shared" si="75"/>
        <v/>
      </c>
      <c r="U507" s="197" t="str">
        <f t="shared" si="76"/>
        <v/>
      </c>
      <c r="V507" s="198" t="str">
        <f t="shared" si="73"/>
        <v/>
      </c>
      <c r="W507" s="339" t="str">
        <f t="shared" si="77"/>
        <v/>
      </c>
      <c r="X507" s="341" t="str">
        <f t="shared" si="78"/>
        <v/>
      </c>
      <c r="Y507" s="277"/>
      <c r="AR507" t="str">
        <f t="shared" si="79"/>
        <v/>
      </c>
      <c r="AS507" t="str">
        <f t="shared" si="80"/>
        <v/>
      </c>
    </row>
    <row r="508" spans="1:45">
      <c r="A508" s="294"/>
      <c r="B508" s="295"/>
      <c r="C508" s="296"/>
      <c r="D508" s="296"/>
      <c r="E508" s="296"/>
      <c r="F508" s="296"/>
      <c r="G508" s="297"/>
      <c r="H508" s="303"/>
      <c r="I508" s="298"/>
      <c r="J508" s="298"/>
      <c r="K508" s="299"/>
      <c r="L508" s="304"/>
      <c r="M508" s="300"/>
      <c r="N508" s="301"/>
      <c r="P508" s="193" t="str">
        <f>IF(R508 = "", "", COUNT(R$4:$R508))</f>
        <v/>
      </c>
      <c r="Q508" s="193" t="str">
        <f t="shared" si="71"/>
        <v/>
      </c>
      <c r="R508" s="194" t="str">
        <f t="shared" si="72"/>
        <v/>
      </c>
      <c r="S508" s="195" t="str">
        <f t="shared" si="74"/>
        <v/>
      </c>
      <c r="T508" s="196" t="str">
        <f t="shared" si="75"/>
        <v/>
      </c>
      <c r="U508" s="197" t="str">
        <f t="shared" si="76"/>
        <v/>
      </c>
      <c r="V508" s="198" t="str">
        <f t="shared" si="73"/>
        <v/>
      </c>
      <c r="W508" s="339" t="str">
        <f t="shared" si="77"/>
        <v/>
      </c>
      <c r="X508" s="341" t="str">
        <f t="shared" si="78"/>
        <v/>
      </c>
      <c r="Y508" s="277"/>
      <c r="AR508" t="str">
        <f t="shared" si="79"/>
        <v/>
      </c>
      <c r="AS508" t="str">
        <f t="shared" si="80"/>
        <v/>
      </c>
    </row>
    <row r="509" spans="1:45">
      <c r="A509" s="294"/>
      <c r="B509" s="295"/>
      <c r="C509" s="296"/>
      <c r="D509" s="296"/>
      <c r="E509" s="296"/>
      <c r="F509" s="296"/>
      <c r="G509" s="297"/>
      <c r="H509" s="303"/>
      <c r="I509" s="298"/>
      <c r="J509" s="298"/>
      <c r="K509" s="299"/>
      <c r="L509" s="304"/>
      <c r="M509" s="300"/>
      <c r="N509" s="301"/>
      <c r="P509" s="193" t="str">
        <f>IF(R509 = "", "", COUNT(R$4:$R509))</f>
        <v/>
      </c>
      <c r="Q509" s="193" t="str">
        <f t="shared" si="71"/>
        <v/>
      </c>
      <c r="R509" s="194" t="str">
        <f t="shared" si="72"/>
        <v/>
      </c>
      <c r="S509" s="195" t="str">
        <f t="shared" si="74"/>
        <v/>
      </c>
      <c r="T509" s="196" t="str">
        <f t="shared" si="75"/>
        <v/>
      </c>
      <c r="U509" s="197" t="str">
        <f t="shared" si="76"/>
        <v/>
      </c>
      <c r="V509" s="198" t="str">
        <f t="shared" si="73"/>
        <v/>
      </c>
      <c r="W509" s="339" t="str">
        <f t="shared" si="77"/>
        <v/>
      </c>
      <c r="X509" s="341" t="str">
        <f t="shared" si="78"/>
        <v/>
      </c>
      <c r="Y509" s="277"/>
      <c r="AR509" t="str">
        <f t="shared" si="79"/>
        <v/>
      </c>
      <c r="AS509" t="str">
        <f t="shared" si="80"/>
        <v/>
      </c>
    </row>
    <row r="510" spans="1:45">
      <c r="A510" s="294"/>
      <c r="B510" s="295"/>
      <c r="C510" s="296"/>
      <c r="D510" s="296"/>
      <c r="E510" s="296"/>
      <c r="F510" s="296"/>
      <c r="G510" s="297"/>
      <c r="H510" s="303"/>
      <c r="I510" s="298"/>
      <c r="J510" s="298"/>
      <c r="K510" s="299"/>
      <c r="L510" s="304"/>
      <c r="M510" s="300"/>
      <c r="N510" s="301"/>
      <c r="P510" s="193" t="str">
        <f>IF(R510 = "", "", COUNT(R$4:$R510))</f>
        <v/>
      </c>
      <c r="Q510" s="193" t="str">
        <f t="shared" si="71"/>
        <v/>
      </c>
      <c r="R510" s="194" t="str">
        <f t="shared" si="72"/>
        <v/>
      </c>
      <c r="S510" s="195" t="str">
        <f t="shared" si="74"/>
        <v/>
      </c>
      <c r="T510" s="196" t="str">
        <f t="shared" si="75"/>
        <v/>
      </c>
      <c r="U510" s="197" t="str">
        <f t="shared" si="76"/>
        <v/>
      </c>
      <c r="V510" s="198" t="str">
        <f t="shared" si="73"/>
        <v/>
      </c>
      <c r="W510" s="339" t="str">
        <f t="shared" si="77"/>
        <v/>
      </c>
      <c r="X510" s="341" t="str">
        <f t="shared" si="78"/>
        <v/>
      </c>
      <c r="Y510" s="277"/>
      <c r="AR510" t="str">
        <f t="shared" si="79"/>
        <v/>
      </c>
      <c r="AS510" t="str">
        <f t="shared" si="80"/>
        <v/>
      </c>
    </row>
    <row r="511" spans="1:45">
      <c r="A511" s="294"/>
      <c r="B511" s="295"/>
      <c r="C511" s="296"/>
      <c r="D511" s="296"/>
      <c r="E511" s="296"/>
      <c r="F511" s="296"/>
      <c r="G511" s="297"/>
      <c r="H511" s="303"/>
      <c r="I511" s="298"/>
      <c r="J511" s="298"/>
      <c r="K511" s="299"/>
      <c r="L511" s="304"/>
      <c r="M511" s="300"/>
      <c r="N511" s="301"/>
      <c r="P511" s="193" t="str">
        <f>IF(R511 = "", "", COUNT(R$4:$R511))</f>
        <v/>
      </c>
      <c r="Q511" s="193" t="str">
        <f t="shared" si="71"/>
        <v/>
      </c>
      <c r="R511" s="194" t="str">
        <f t="shared" si="72"/>
        <v/>
      </c>
      <c r="S511" s="195" t="str">
        <f t="shared" si="74"/>
        <v/>
      </c>
      <c r="T511" s="196" t="str">
        <f t="shared" si="75"/>
        <v/>
      </c>
      <c r="U511" s="197" t="str">
        <f t="shared" si="76"/>
        <v/>
      </c>
      <c r="V511" s="198" t="str">
        <f t="shared" si="73"/>
        <v/>
      </c>
      <c r="W511" s="339" t="str">
        <f t="shared" si="77"/>
        <v/>
      </c>
      <c r="X511" s="341" t="str">
        <f t="shared" si="78"/>
        <v/>
      </c>
      <c r="Y511" s="277"/>
      <c r="AR511" t="str">
        <f t="shared" si="79"/>
        <v/>
      </c>
      <c r="AS511" t="str">
        <f t="shared" si="80"/>
        <v/>
      </c>
    </row>
    <row r="512" spans="1:45">
      <c r="A512" s="294"/>
      <c r="B512" s="295"/>
      <c r="C512" s="296"/>
      <c r="D512" s="296"/>
      <c r="E512" s="296"/>
      <c r="F512" s="296"/>
      <c r="G512" s="297"/>
      <c r="H512" s="303"/>
      <c r="I512" s="298"/>
      <c r="J512" s="298"/>
      <c r="K512" s="299"/>
      <c r="L512" s="304"/>
      <c r="M512" s="300"/>
      <c r="N512" s="301"/>
      <c r="P512" s="193" t="str">
        <f>IF(R512 = "", "", COUNT(R$4:$R512))</f>
        <v/>
      </c>
      <c r="Q512" s="193" t="str">
        <f t="shared" si="71"/>
        <v/>
      </c>
      <c r="R512" s="194" t="str">
        <f t="shared" si="72"/>
        <v/>
      </c>
      <c r="S512" s="195" t="str">
        <f t="shared" si="74"/>
        <v/>
      </c>
      <c r="T512" s="196" t="str">
        <f t="shared" si="75"/>
        <v/>
      </c>
      <c r="U512" s="197" t="str">
        <f t="shared" si="76"/>
        <v/>
      </c>
      <c r="V512" s="198" t="str">
        <f t="shared" si="73"/>
        <v/>
      </c>
      <c r="W512" s="339" t="str">
        <f t="shared" si="77"/>
        <v/>
      </c>
      <c r="X512" s="341" t="str">
        <f t="shared" si="78"/>
        <v/>
      </c>
      <c r="Y512" s="277"/>
      <c r="AR512" t="str">
        <f t="shared" si="79"/>
        <v/>
      </c>
      <c r="AS512" t="str">
        <f t="shared" si="80"/>
        <v/>
      </c>
    </row>
    <row r="513" spans="1:45">
      <c r="A513" s="294"/>
      <c r="B513" s="295"/>
      <c r="C513" s="296"/>
      <c r="D513" s="296"/>
      <c r="E513" s="296"/>
      <c r="F513" s="296"/>
      <c r="G513" s="297"/>
      <c r="H513" s="303"/>
      <c r="I513" s="298"/>
      <c r="J513" s="298"/>
      <c r="K513" s="299"/>
      <c r="L513" s="304"/>
      <c r="M513" s="300"/>
      <c r="N513" s="301"/>
      <c r="P513" s="193" t="str">
        <f>IF(R513 = "", "", COUNT(R$4:$R513))</f>
        <v/>
      </c>
      <c r="Q513" s="193" t="str">
        <f t="shared" si="71"/>
        <v/>
      </c>
      <c r="R513" s="194" t="str">
        <f t="shared" si="72"/>
        <v/>
      </c>
      <c r="S513" s="195" t="str">
        <f t="shared" si="74"/>
        <v/>
      </c>
      <c r="T513" s="196" t="str">
        <f t="shared" si="75"/>
        <v/>
      </c>
      <c r="U513" s="197" t="str">
        <f t="shared" si="76"/>
        <v/>
      </c>
      <c r="V513" s="198" t="str">
        <f t="shared" si="73"/>
        <v/>
      </c>
      <c r="W513" s="339" t="str">
        <f t="shared" si="77"/>
        <v/>
      </c>
      <c r="X513" s="341" t="str">
        <f t="shared" si="78"/>
        <v/>
      </c>
      <c r="Y513" s="277"/>
      <c r="AR513" t="str">
        <f t="shared" si="79"/>
        <v/>
      </c>
      <c r="AS513" t="str">
        <f t="shared" si="80"/>
        <v/>
      </c>
    </row>
    <row r="514" spans="1:45">
      <c r="A514" s="294"/>
      <c r="B514" s="295"/>
      <c r="C514" s="296"/>
      <c r="D514" s="296"/>
      <c r="E514" s="296"/>
      <c r="F514" s="296"/>
      <c r="G514" s="297"/>
      <c r="H514" s="303"/>
      <c r="I514" s="298"/>
      <c r="J514" s="298"/>
      <c r="K514" s="299"/>
      <c r="L514" s="304"/>
      <c r="M514" s="300"/>
      <c r="N514" s="301"/>
      <c r="P514" s="193" t="str">
        <f>IF(R514 = "", "", COUNT(R$4:$R514))</f>
        <v/>
      </c>
      <c r="Q514" s="193" t="str">
        <f t="shared" si="71"/>
        <v/>
      </c>
      <c r="R514" s="194" t="str">
        <f t="shared" si="72"/>
        <v/>
      </c>
      <c r="S514" s="195" t="str">
        <f t="shared" si="74"/>
        <v/>
      </c>
      <c r="T514" s="196" t="str">
        <f t="shared" si="75"/>
        <v/>
      </c>
      <c r="U514" s="197" t="str">
        <f t="shared" si="76"/>
        <v/>
      </c>
      <c r="V514" s="198" t="str">
        <f t="shared" si="73"/>
        <v/>
      </c>
      <c r="W514" s="339" t="str">
        <f t="shared" si="77"/>
        <v/>
      </c>
      <c r="X514" s="341" t="str">
        <f t="shared" si="78"/>
        <v/>
      </c>
      <c r="Y514" s="277"/>
      <c r="AR514" t="str">
        <f t="shared" si="79"/>
        <v/>
      </c>
      <c r="AS514" t="str">
        <f t="shared" si="80"/>
        <v/>
      </c>
    </row>
    <row r="515" spans="1:45">
      <c r="A515" s="294"/>
      <c r="B515" s="295"/>
      <c r="C515" s="296"/>
      <c r="D515" s="296"/>
      <c r="E515" s="296"/>
      <c r="F515" s="296"/>
      <c r="G515" s="297"/>
      <c r="H515" s="303"/>
      <c r="I515" s="298"/>
      <c r="J515" s="298"/>
      <c r="K515" s="299"/>
      <c r="L515" s="304"/>
      <c r="M515" s="300"/>
      <c r="N515" s="301"/>
      <c r="P515" s="193" t="str">
        <f>IF(R515 = "", "", COUNT(R$4:$R515))</f>
        <v/>
      </c>
      <c r="Q515" s="193" t="str">
        <f t="shared" si="71"/>
        <v/>
      </c>
      <c r="R515" s="194" t="str">
        <f t="shared" si="72"/>
        <v/>
      </c>
      <c r="S515" s="195" t="str">
        <f t="shared" si="74"/>
        <v/>
      </c>
      <c r="T515" s="196" t="str">
        <f t="shared" si="75"/>
        <v/>
      </c>
      <c r="U515" s="197" t="str">
        <f t="shared" si="76"/>
        <v/>
      </c>
      <c r="V515" s="198" t="str">
        <f t="shared" si="73"/>
        <v/>
      </c>
      <c r="W515" s="339" t="str">
        <f t="shared" si="77"/>
        <v/>
      </c>
      <c r="X515" s="341" t="str">
        <f t="shared" si="78"/>
        <v/>
      </c>
      <c r="Y515" s="277"/>
      <c r="AR515" t="str">
        <f t="shared" si="79"/>
        <v/>
      </c>
      <c r="AS515" t="str">
        <f t="shared" si="80"/>
        <v/>
      </c>
    </row>
    <row r="516" spans="1:45">
      <c r="A516" s="294"/>
      <c r="B516" s="295"/>
      <c r="C516" s="296"/>
      <c r="D516" s="296"/>
      <c r="E516" s="296"/>
      <c r="F516" s="296"/>
      <c r="G516" s="297"/>
      <c r="H516" s="303"/>
      <c r="I516" s="298"/>
      <c r="J516" s="298"/>
      <c r="K516" s="299"/>
      <c r="L516" s="304"/>
      <c r="M516" s="300"/>
      <c r="N516" s="301"/>
      <c r="P516" s="193" t="str">
        <f>IF(R516 = "", "", COUNT(R$4:$R516))</f>
        <v/>
      </c>
      <c r="Q516" s="193" t="str">
        <f t="shared" ref="Q516:Q579" si="81">IF(C516 &gt; 0, YEAR(B516), "")</f>
        <v/>
      </c>
      <c r="R516" s="194" t="str">
        <f t="shared" ref="R516:R579" si="82">IF(A516="", "", IF(G516="",1,IF(G516="O",1,IF(G516="C",8.4,IF(G516="B",8.4,IF(G516="A",76.8,IF(G516="K",76.8,"ERR")))))))</f>
        <v/>
      </c>
      <c r="S516" s="195" t="str">
        <f t="shared" si="74"/>
        <v/>
      </c>
      <c r="T516" s="196" t="str">
        <f t="shared" si="75"/>
        <v/>
      </c>
      <c r="U516" s="197" t="str">
        <f t="shared" si="76"/>
        <v/>
      </c>
      <c r="V516" s="198" t="str">
        <f t="shared" ref="V516:V579" si="83">IF(IF(M516&lt;&gt;"",G516,"")=0, "O", IF(M516&lt;&gt;"",G516,""))</f>
        <v/>
      </c>
      <c r="W516" s="339" t="str">
        <f t="shared" si="77"/>
        <v/>
      </c>
      <c r="X516" s="341" t="str">
        <f t="shared" si="78"/>
        <v/>
      </c>
      <c r="Y516" s="277"/>
      <c r="AR516" t="str">
        <f t="shared" si="79"/>
        <v/>
      </c>
      <c r="AS516" t="str">
        <f t="shared" si="80"/>
        <v/>
      </c>
    </row>
    <row r="517" spans="1:45">
      <c r="A517" s="294"/>
      <c r="B517" s="295"/>
      <c r="C517" s="296"/>
      <c r="D517" s="296"/>
      <c r="E517" s="296"/>
      <c r="F517" s="296"/>
      <c r="G517" s="297"/>
      <c r="H517" s="303"/>
      <c r="I517" s="298"/>
      <c r="J517" s="298"/>
      <c r="K517" s="299"/>
      <c r="L517" s="304"/>
      <c r="M517" s="300"/>
      <c r="N517" s="301"/>
      <c r="P517" s="193" t="str">
        <f>IF(R517 = "", "", COUNT(R$4:$R517))</f>
        <v/>
      </c>
      <c r="Q517" s="193" t="str">
        <f t="shared" si="81"/>
        <v/>
      </c>
      <c r="R517" s="194" t="str">
        <f t="shared" si="82"/>
        <v/>
      </c>
      <c r="S517" s="195" t="str">
        <f t="shared" ref="S517:S580" si="84">IF(L517&lt;&gt;"",R517,"")</f>
        <v/>
      </c>
      <c r="T517" s="196" t="str">
        <f t="shared" ref="T517:T580" si="85">IF(IF(L517&lt;&gt;"",G517,"")=0, "O", IF(L517&lt;&gt;"",G517,""))</f>
        <v/>
      </c>
      <c r="U517" s="197" t="str">
        <f t="shared" ref="U517:U580" si="86">IF(M517&lt;&gt;"",R517,"")</f>
        <v/>
      </c>
      <c r="V517" s="198" t="str">
        <f t="shared" si="83"/>
        <v/>
      </c>
      <c r="W517" s="339" t="str">
        <f t="shared" ref="W517:W580" si="87">IF(N517&lt;&gt;"",R517,"")</f>
        <v/>
      </c>
      <c r="X517" s="341" t="str">
        <f t="shared" ref="X517:X580" si="88">IF(IF(N517&lt;&gt;"",G517,"")=0, "O", IF(N517&lt;&gt;"",G517,""))</f>
        <v/>
      </c>
      <c r="Y517" s="277"/>
      <c r="AR517" t="str">
        <f t="shared" ref="AR517:AR580" si="89">IF(P517&gt;0, P517, "")</f>
        <v/>
      </c>
      <c r="AS517" t="str">
        <f t="shared" ref="AS517:AS580" si="90">IF(OR(L517="Y",M517="Y",N517="Y"),"Y","")</f>
        <v/>
      </c>
    </row>
    <row r="518" spans="1:45">
      <c r="A518" s="294"/>
      <c r="B518" s="295"/>
      <c r="C518" s="296"/>
      <c r="D518" s="296"/>
      <c r="E518" s="296"/>
      <c r="F518" s="296"/>
      <c r="G518" s="297"/>
      <c r="H518" s="303"/>
      <c r="I518" s="298"/>
      <c r="J518" s="298"/>
      <c r="K518" s="299"/>
      <c r="L518" s="304"/>
      <c r="M518" s="300"/>
      <c r="N518" s="301"/>
      <c r="P518" s="193" t="str">
        <f>IF(R518 = "", "", COUNT(R$4:$R518))</f>
        <v/>
      </c>
      <c r="Q518" s="193" t="str">
        <f t="shared" si="81"/>
        <v/>
      </c>
      <c r="R518" s="194" t="str">
        <f t="shared" si="82"/>
        <v/>
      </c>
      <c r="S518" s="195" t="str">
        <f t="shared" si="84"/>
        <v/>
      </c>
      <c r="T518" s="196" t="str">
        <f t="shared" si="85"/>
        <v/>
      </c>
      <c r="U518" s="197" t="str">
        <f t="shared" si="86"/>
        <v/>
      </c>
      <c r="V518" s="198" t="str">
        <f t="shared" si="83"/>
        <v/>
      </c>
      <c r="W518" s="339" t="str">
        <f t="shared" si="87"/>
        <v/>
      </c>
      <c r="X518" s="341" t="str">
        <f t="shared" si="88"/>
        <v/>
      </c>
      <c r="Y518" s="277"/>
      <c r="AR518" t="str">
        <f t="shared" si="89"/>
        <v/>
      </c>
      <c r="AS518" t="str">
        <f t="shared" si="90"/>
        <v/>
      </c>
    </row>
    <row r="519" spans="1:45">
      <c r="A519" s="294"/>
      <c r="B519" s="295"/>
      <c r="C519" s="296"/>
      <c r="D519" s="296"/>
      <c r="E519" s="296"/>
      <c r="F519" s="296"/>
      <c r="G519" s="297"/>
      <c r="H519" s="303"/>
      <c r="I519" s="298"/>
      <c r="J519" s="298"/>
      <c r="K519" s="299"/>
      <c r="L519" s="304"/>
      <c r="M519" s="300"/>
      <c r="N519" s="301"/>
      <c r="P519" s="193" t="str">
        <f>IF(R519 = "", "", COUNT(R$4:$R519))</f>
        <v/>
      </c>
      <c r="Q519" s="193" t="str">
        <f t="shared" si="81"/>
        <v/>
      </c>
      <c r="R519" s="194" t="str">
        <f t="shared" si="82"/>
        <v/>
      </c>
      <c r="S519" s="195" t="str">
        <f t="shared" si="84"/>
        <v/>
      </c>
      <c r="T519" s="196" t="str">
        <f t="shared" si="85"/>
        <v/>
      </c>
      <c r="U519" s="197" t="str">
        <f t="shared" si="86"/>
        <v/>
      </c>
      <c r="V519" s="198" t="str">
        <f t="shared" si="83"/>
        <v/>
      </c>
      <c r="W519" s="339" t="str">
        <f t="shared" si="87"/>
        <v/>
      </c>
      <c r="X519" s="341" t="str">
        <f t="shared" si="88"/>
        <v/>
      </c>
      <c r="Y519" s="277"/>
      <c r="AR519" t="str">
        <f t="shared" si="89"/>
        <v/>
      </c>
      <c r="AS519" t="str">
        <f t="shared" si="90"/>
        <v/>
      </c>
    </row>
    <row r="520" spans="1:45">
      <c r="A520" s="294"/>
      <c r="B520" s="295"/>
      <c r="C520" s="296"/>
      <c r="D520" s="296"/>
      <c r="E520" s="296"/>
      <c r="F520" s="296"/>
      <c r="G520" s="297"/>
      <c r="H520" s="303"/>
      <c r="I520" s="298"/>
      <c r="J520" s="298"/>
      <c r="K520" s="299"/>
      <c r="L520" s="304"/>
      <c r="M520" s="300"/>
      <c r="N520" s="301"/>
      <c r="P520" s="193" t="str">
        <f>IF(R520 = "", "", COUNT(R$4:$R520))</f>
        <v/>
      </c>
      <c r="Q520" s="193" t="str">
        <f t="shared" si="81"/>
        <v/>
      </c>
      <c r="R520" s="194" t="str">
        <f t="shared" si="82"/>
        <v/>
      </c>
      <c r="S520" s="195" t="str">
        <f t="shared" si="84"/>
        <v/>
      </c>
      <c r="T520" s="196" t="str">
        <f t="shared" si="85"/>
        <v/>
      </c>
      <c r="U520" s="197" t="str">
        <f t="shared" si="86"/>
        <v/>
      </c>
      <c r="V520" s="198" t="str">
        <f t="shared" si="83"/>
        <v/>
      </c>
      <c r="W520" s="339" t="str">
        <f t="shared" si="87"/>
        <v/>
      </c>
      <c r="X520" s="341" t="str">
        <f t="shared" si="88"/>
        <v/>
      </c>
      <c r="Y520" s="277"/>
      <c r="AR520" t="str">
        <f t="shared" si="89"/>
        <v/>
      </c>
      <c r="AS520" t="str">
        <f t="shared" si="90"/>
        <v/>
      </c>
    </row>
    <row r="521" spans="1:45">
      <c r="A521" s="294"/>
      <c r="B521" s="295"/>
      <c r="C521" s="296"/>
      <c r="D521" s="296"/>
      <c r="E521" s="296"/>
      <c r="F521" s="296"/>
      <c r="G521" s="297"/>
      <c r="H521" s="303"/>
      <c r="I521" s="298"/>
      <c r="J521" s="298"/>
      <c r="K521" s="299"/>
      <c r="L521" s="304"/>
      <c r="M521" s="300"/>
      <c r="N521" s="301"/>
      <c r="P521" s="193" t="str">
        <f>IF(R521 = "", "", COUNT(R$4:$R521))</f>
        <v/>
      </c>
      <c r="Q521" s="193" t="str">
        <f t="shared" si="81"/>
        <v/>
      </c>
      <c r="R521" s="194" t="str">
        <f t="shared" si="82"/>
        <v/>
      </c>
      <c r="S521" s="195" t="str">
        <f t="shared" si="84"/>
        <v/>
      </c>
      <c r="T521" s="196" t="str">
        <f t="shared" si="85"/>
        <v/>
      </c>
      <c r="U521" s="197" t="str">
        <f t="shared" si="86"/>
        <v/>
      </c>
      <c r="V521" s="198" t="str">
        <f t="shared" si="83"/>
        <v/>
      </c>
      <c r="W521" s="339" t="str">
        <f t="shared" si="87"/>
        <v/>
      </c>
      <c r="X521" s="341" t="str">
        <f t="shared" si="88"/>
        <v/>
      </c>
      <c r="Y521" s="277"/>
      <c r="AR521" t="str">
        <f t="shared" si="89"/>
        <v/>
      </c>
      <c r="AS521" t="str">
        <f t="shared" si="90"/>
        <v/>
      </c>
    </row>
    <row r="522" spans="1:45">
      <c r="A522" s="294"/>
      <c r="B522" s="295"/>
      <c r="C522" s="296"/>
      <c r="D522" s="296"/>
      <c r="E522" s="296"/>
      <c r="F522" s="296"/>
      <c r="G522" s="297"/>
      <c r="H522" s="303"/>
      <c r="I522" s="298"/>
      <c r="J522" s="298"/>
      <c r="K522" s="299"/>
      <c r="L522" s="304"/>
      <c r="M522" s="300"/>
      <c r="N522" s="301"/>
      <c r="P522" s="193" t="str">
        <f>IF(R522 = "", "", COUNT(R$4:$R522))</f>
        <v/>
      </c>
      <c r="Q522" s="193" t="str">
        <f t="shared" si="81"/>
        <v/>
      </c>
      <c r="R522" s="194" t="str">
        <f t="shared" si="82"/>
        <v/>
      </c>
      <c r="S522" s="195" t="str">
        <f t="shared" si="84"/>
        <v/>
      </c>
      <c r="T522" s="196" t="str">
        <f t="shared" si="85"/>
        <v/>
      </c>
      <c r="U522" s="197" t="str">
        <f t="shared" si="86"/>
        <v/>
      </c>
      <c r="V522" s="198" t="str">
        <f t="shared" si="83"/>
        <v/>
      </c>
      <c r="W522" s="339" t="str">
        <f t="shared" si="87"/>
        <v/>
      </c>
      <c r="X522" s="341" t="str">
        <f t="shared" si="88"/>
        <v/>
      </c>
      <c r="Y522" s="277"/>
      <c r="AR522" t="str">
        <f t="shared" si="89"/>
        <v/>
      </c>
      <c r="AS522" t="str">
        <f t="shared" si="90"/>
        <v/>
      </c>
    </row>
    <row r="523" spans="1:45">
      <c r="A523" s="294"/>
      <c r="B523" s="295"/>
      <c r="C523" s="296"/>
      <c r="D523" s="296"/>
      <c r="E523" s="296"/>
      <c r="F523" s="296"/>
      <c r="G523" s="297"/>
      <c r="H523" s="303"/>
      <c r="I523" s="298"/>
      <c r="J523" s="298"/>
      <c r="K523" s="299"/>
      <c r="L523" s="304"/>
      <c r="M523" s="300"/>
      <c r="N523" s="301"/>
      <c r="P523" s="193" t="str">
        <f>IF(R523 = "", "", COUNT(R$4:$R523))</f>
        <v/>
      </c>
      <c r="Q523" s="193" t="str">
        <f t="shared" si="81"/>
        <v/>
      </c>
      <c r="R523" s="194" t="str">
        <f t="shared" si="82"/>
        <v/>
      </c>
      <c r="S523" s="195" t="str">
        <f t="shared" si="84"/>
        <v/>
      </c>
      <c r="T523" s="196" t="str">
        <f t="shared" si="85"/>
        <v/>
      </c>
      <c r="U523" s="197" t="str">
        <f t="shared" si="86"/>
        <v/>
      </c>
      <c r="V523" s="198" t="str">
        <f t="shared" si="83"/>
        <v/>
      </c>
      <c r="W523" s="339" t="str">
        <f t="shared" si="87"/>
        <v/>
      </c>
      <c r="X523" s="341" t="str">
        <f t="shared" si="88"/>
        <v/>
      </c>
      <c r="Y523" s="277"/>
      <c r="AR523" t="str">
        <f t="shared" si="89"/>
        <v/>
      </c>
      <c r="AS523" t="str">
        <f t="shared" si="90"/>
        <v/>
      </c>
    </row>
    <row r="524" spans="1:45">
      <c r="A524" s="294"/>
      <c r="B524" s="295"/>
      <c r="C524" s="296"/>
      <c r="D524" s="296"/>
      <c r="E524" s="296"/>
      <c r="F524" s="296"/>
      <c r="G524" s="297"/>
      <c r="H524" s="303"/>
      <c r="I524" s="298"/>
      <c r="J524" s="298"/>
      <c r="K524" s="299"/>
      <c r="L524" s="304"/>
      <c r="M524" s="300"/>
      <c r="N524" s="301"/>
      <c r="P524" s="193" t="str">
        <f>IF(R524 = "", "", COUNT(R$4:$R524))</f>
        <v/>
      </c>
      <c r="Q524" s="193" t="str">
        <f t="shared" si="81"/>
        <v/>
      </c>
      <c r="R524" s="194" t="str">
        <f t="shared" si="82"/>
        <v/>
      </c>
      <c r="S524" s="195" t="str">
        <f t="shared" si="84"/>
        <v/>
      </c>
      <c r="T524" s="196" t="str">
        <f t="shared" si="85"/>
        <v/>
      </c>
      <c r="U524" s="197" t="str">
        <f t="shared" si="86"/>
        <v/>
      </c>
      <c r="V524" s="198" t="str">
        <f t="shared" si="83"/>
        <v/>
      </c>
      <c r="W524" s="339" t="str">
        <f t="shared" si="87"/>
        <v/>
      </c>
      <c r="X524" s="341" t="str">
        <f t="shared" si="88"/>
        <v/>
      </c>
      <c r="Y524" s="277"/>
      <c r="AR524" t="str">
        <f t="shared" si="89"/>
        <v/>
      </c>
      <c r="AS524" t="str">
        <f t="shared" si="90"/>
        <v/>
      </c>
    </row>
    <row r="525" spans="1:45">
      <c r="A525" s="294"/>
      <c r="B525" s="295"/>
      <c r="C525" s="296"/>
      <c r="D525" s="296"/>
      <c r="E525" s="296"/>
      <c r="F525" s="296"/>
      <c r="G525" s="297"/>
      <c r="H525" s="303"/>
      <c r="I525" s="298"/>
      <c r="J525" s="298"/>
      <c r="K525" s="299"/>
      <c r="L525" s="304"/>
      <c r="M525" s="300"/>
      <c r="N525" s="301"/>
      <c r="P525" s="193" t="str">
        <f>IF(R525 = "", "", COUNT(R$4:$R525))</f>
        <v/>
      </c>
      <c r="Q525" s="193" t="str">
        <f t="shared" si="81"/>
        <v/>
      </c>
      <c r="R525" s="194" t="str">
        <f t="shared" si="82"/>
        <v/>
      </c>
      <c r="S525" s="195" t="str">
        <f t="shared" si="84"/>
        <v/>
      </c>
      <c r="T525" s="196" t="str">
        <f t="shared" si="85"/>
        <v/>
      </c>
      <c r="U525" s="197" t="str">
        <f t="shared" si="86"/>
        <v/>
      </c>
      <c r="V525" s="198" t="str">
        <f t="shared" si="83"/>
        <v/>
      </c>
      <c r="W525" s="339" t="str">
        <f t="shared" si="87"/>
        <v/>
      </c>
      <c r="X525" s="341" t="str">
        <f t="shared" si="88"/>
        <v/>
      </c>
      <c r="Y525" s="277"/>
      <c r="AR525" t="str">
        <f t="shared" si="89"/>
        <v/>
      </c>
      <c r="AS525" t="str">
        <f t="shared" si="90"/>
        <v/>
      </c>
    </row>
    <row r="526" spans="1:45">
      <c r="A526" s="294"/>
      <c r="B526" s="295"/>
      <c r="C526" s="296"/>
      <c r="D526" s="296"/>
      <c r="E526" s="296"/>
      <c r="F526" s="296"/>
      <c r="G526" s="297"/>
      <c r="H526" s="303"/>
      <c r="I526" s="298"/>
      <c r="J526" s="298"/>
      <c r="K526" s="299"/>
      <c r="L526" s="304"/>
      <c r="M526" s="300"/>
      <c r="N526" s="301"/>
      <c r="P526" s="193" t="str">
        <f>IF(R526 = "", "", COUNT(R$4:$R526))</f>
        <v/>
      </c>
      <c r="Q526" s="193" t="str">
        <f t="shared" si="81"/>
        <v/>
      </c>
      <c r="R526" s="194" t="str">
        <f t="shared" si="82"/>
        <v/>
      </c>
      <c r="S526" s="195" t="str">
        <f t="shared" si="84"/>
        <v/>
      </c>
      <c r="T526" s="196" t="str">
        <f t="shared" si="85"/>
        <v/>
      </c>
      <c r="U526" s="197" t="str">
        <f t="shared" si="86"/>
        <v/>
      </c>
      <c r="V526" s="198" t="str">
        <f t="shared" si="83"/>
        <v/>
      </c>
      <c r="W526" s="339" t="str">
        <f t="shared" si="87"/>
        <v/>
      </c>
      <c r="X526" s="341" t="str">
        <f t="shared" si="88"/>
        <v/>
      </c>
      <c r="Y526" s="277"/>
      <c r="AR526" t="str">
        <f t="shared" si="89"/>
        <v/>
      </c>
      <c r="AS526" t="str">
        <f t="shared" si="90"/>
        <v/>
      </c>
    </row>
    <row r="527" spans="1:45">
      <c r="A527" s="294"/>
      <c r="B527" s="295"/>
      <c r="C527" s="296"/>
      <c r="D527" s="296"/>
      <c r="E527" s="296"/>
      <c r="F527" s="296"/>
      <c r="G527" s="297"/>
      <c r="H527" s="303"/>
      <c r="I527" s="298"/>
      <c r="J527" s="298"/>
      <c r="K527" s="299"/>
      <c r="L527" s="304"/>
      <c r="M527" s="300"/>
      <c r="N527" s="301"/>
      <c r="P527" s="193" t="str">
        <f>IF(R527 = "", "", COUNT(R$4:$R527))</f>
        <v/>
      </c>
      <c r="Q527" s="193" t="str">
        <f t="shared" si="81"/>
        <v/>
      </c>
      <c r="R527" s="194" t="str">
        <f t="shared" si="82"/>
        <v/>
      </c>
      <c r="S527" s="195" t="str">
        <f t="shared" si="84"/>
        <v/>
      </c>
      <c r="T527" s="196" t="str">
        <f t="shared" si="85"/>
        <v/>
      </c>
      <c r="U527" s="197" t="str">
        <f t="shared" si="86"/>
        <v/>
      </c>
      <c r="V527" s="198" t="str">
        <f t="shared" si="83"/>
        <v/>
      </c>
      <c r="W527" s="339" t="str">
        <f t="shared" si="87"/>
        <v/>
      </c>
      <c r="X527" s="341" t="str">
        <f t="shared" si="88"/>
        <v/>
      </c>
      <c r="Y527" s="277"/>
      <c r="AR527" t="str">
        <f t="shared" si="89"/>
        <v/>
      </c>
      <c r="AS527" t="str">
        <f t="shared" si="90"/>
        <v/>
      </c>
    </row>
    <row r="528" spans="1:45">
      <c r="A528" s="294"/>
      <c r="B528" s="295"/>
      <c r="C528" s="296"/>
      <c r="D528" s="296"/>
      <c r="E528" s="296"/>
      <c r="F528" s="296"/>
      <c r="G528" s="297"/>
      <c r="H528" s="303"/>
      <c r="I528" s="298"/>
      <c r="J528" s="298"/>
      <c r="K528" s="299"/>
      <c r="L528" s="304"/>
      <c r="M528" s="300"/>
      <c r="N528" s="301"/>
      <c r="P528" s="193" t="str">
        <f>IF(R528 = "", "", COUNT(R$4:$R528))</f>
        <v/>
      </c>
      <c r="Q528" s="193" t="str">
        <f t="shared" si="81"/>
        <v/>
      </c>
      <c r="R528" s="194" t="str">
        <f t="shared" si="82"/>
        <v/>
      </c>
      <c r="S528" s="195" t="str">
        <f t="shared" si="84"/>
        <v/>
      </c>
      <c r="T528" s="196" t="str">
        <f t="shared" si="85"/>
        <v/>
      </c>
      <c r="U528" s="197" t="str">
        <f t="shared" si="86"/>
        <v/>
      </c>
      <c r="V528" s="198" t="str">
        <f t="shared" si="83"/>
        <v/>
      </c>
      <c r="W528" s="339" t="str">
        <f t="shared" si="87"/>
        <v/>
      </c>
      <c r="X528" s="341" t="str">
        <f t="shared" si="88"/>
        <v/>
      </c>
      <c r="Y528" s="277"/>
      <c r="AR528" t="str">
        <f t="shared" si="89"/>
        <v/>
      </c>
      <c r="AS528" t="str">
        <f t="shared" si="90"/>
        <v/>
      </c>
    </row>
    <row r="529" spans="1:45">
      <c r="A529" s="294"/>
      <c r="B529" s="295"/>
      <c r="C529" s="296"/>
      <c r="D529" s="296"/>
      <c r="E529" s="296"/>
      <c r="F529" s="296"/>
      <c r="G529" s="297"/>
      <c r="H529" s="303"/>
      <c r="I529" s="298"/>
      <c r="J529" s="298"/>
      <c r="K529" s="299"/>
      <c r="L529" s="304"/>
      <c r="M529" s="300"/>
      <c r="N529" s="301"/>
      <c r="P529" s="193" t="str">
        <f>IF(R529 = "", "", COUNT(R$4:$R529))</f>
        <v/>
      </c>
      <c r="Q529" s="193" t="str">
        <f t="shared" si="81"/>
        <v/>
      </c>
      <c r="R529" s="194" t="str">
        <f t="shared" si="82"/>
        <v/>
      </c>
      <c r="S529" s="195" t="str">
        <f t="shared" si="84"/>
        <v/>
      </c>
      <c r="T529" s="196" t="str">
        <f t="shared" si="85"/>
        <v/>
      </c>
      <c r="U529" s="197" t="str">
        <f t="shared" si="86"/>
        <v/>
      </c>
      <c r="V529" s="198" t="str">
        <f t="shared" si="83"/>
        <v/>
      </c>
      <c r="W529" s="339" t="str">
        <f t="shared" si="87"/>
        <v/>
      </c>
      <c r="X529" s="341" t="str">
        <f t="shared" si="88"/>
        <v/>
      </c>
      <c r="Y529" s="277"/>
      <c r="AR529" t="str">
        <f t="shared" si="89"/>
        <v/>
      </c>
      <c r="AS529" t="str">
        <f t="shared" si="90"/>
        <v/>
      </c>
    </row>
    <row r="530" spans="1:45">
      <c r="A530" s="294"/>
      <c r="B530" s="295"/>
      <c r="C530" s="296"/>
      <c r="D530" s="296"/>
      <c r="E530" s="296"/>
      <c r="F530" s="296"/>
      <c r="G530" s="297"/>
      <c r="H530" s="303"/>
      <c r="I530" s="298"/>
      <c r="J530" s="298"/>
      <c r="K530" s="299"/>
      <c r="L530" s="304"/>
      <c r="M530" s="300"/>
      <c r="N530" s="301"/>
      <c r="P530" s="193" t="str">
        <f>IF(R530 = "", "", COUNT(R$4:$R530))</f>
        <v/>
      </c>
      <c r="Q530" s="193" t="str">
        <f t="shared" si="81"/>
        <v/>
      </c>
      <c r="R530" s="194" t="str">
        <f t="shared" si="82"/>
        <v/>
      </c>
      <c r="S530" s="195" t="str">
        <f t="shared" si="84"/>
        <v/>
      </c>
      <c r="T530" s="196" t="str">
        <f t="shared" si="85"/>
        <v/>
      </c>
      <c r="U530" s="197" t="str">
        <f t="shared" si="86"/>
        <v/>
      </c>
      <c r="V530" s="198" t="str">
        <f t="shared" si="83"/>
        <v/>
      </c>
      <c r="W530" s="339" t="str">
        <f t="shared" si="87"/>
        <v/>
      </c>
      <c r="X530" s="341" t="str">
        <f t="shared" si="88"/>
        <v/>
      </c>
      <c r="Y530" s="277"/>
      <c r="AR530" t="str">
        <f t="shared" si="89"/>
        <v/>
      </c>
      <c r="AS530" t="str">
        <f t="shared" si="90"/>
        <v/>
      </c>
    </row>
    <row r="531" spans="1:45">
      <c r="A531" s="294"/>
      <c r="B531" s="295"/>
      <c r="C531" s="296"/>
      <c r="D531" s="296"/>
      <c r="E531" s="296"/>
      <c r="F531" s="296"/>
      <c r="G531" s="297"/>
      <c r="H531" s="303"/>
      <c r="I531" s="298"/>
      <c r="J531" s="298"/>
      <c r="K531" s="299"/>
      <c r="L531" s="304"/>
      <c r="M531" s="300"/>
      <c r="N531" s="301"/>
      <c r="P531" s="193" t="str">
        <f>IF(R531 = "", "", COUNT(R$4:$R531))</f>
        <v/>
      </c>
      <c r="Q531" s="193" t="str">
        <f t="shared" si="81"/>
        <v/>
      </c>
      <c r="R531" s="194" t="str">
        <f t="shared" si="82"/>
        <v/>
      </c>
      <c r="S531" s="195" t="str">
        <f t="shared" si="84"/>
        <v/>
      </c>
      <c r="T531" s="196" t="str">
        <f t="shared" si="85"/>
        <v/>
      </c>
      <c r="U531" s="197" t="str">
        <f t="shared" si="86"/>
        <v/>
      </c>
      <c r="V531" s="198" t="str">
        <f t="shared" si="83"/>
        <v/>
      </c>
      <c r="W531" s="339" t="str">
        <f t="shared" si="87"/>
        <v/>
      </c>
      <c r="X531" s="341" t="str">
        <f t="shared" si="88"/>
        <v/>
      </c>
      <c r="Y531" s="277"/>
      <c r="AR531" t="str">
        <f t="shared" si="89"/>
        <v/>
      </c>
      <c r="AS531" t="str">
        <f t="shared" si="90"/>
        <v/>
      </c>
    </row>
    <row r="532" spans="1:45">
      <c r="A532" s="294"/>
      <c r="B532" s="295"/>
      <c r="C532" s="296"/>
      <c r="D532" s="296"/>
      <c r="E532" s="296"/>
      <c r="F532" s="296"/>
      <c r="G532" s="297"/>
      <c r="H532" s="303"/>
      <c r="I532" s="298"/>
      <c r="J532" s="298"/>
      <c r="K532" s="299"/>
      <c r="L532" s="304"/>
      <c r="M532" s="300"/>
      <c r="N532" s="301"/>
      <c r="P532" s="193" t="str">
        <f>IF(R532 = "", "", COUNT(R$4:$R532))</f>
        <v/>
      </c>
      <c r="Q532" s="193" t="str">
        <f t="shared" si="81"/>
        <v/>
      </c>
      <c r="R532" s="194" t="str">
        <f t="shared" si="82"/>
        <v/>
      </c>
      <c r="S532" s="195" t="str">
        <f t="shared" si="84"/>
        <v/>
      </c>
      <c r="T532" s="196" t="str">
        <f t="shared" si="85"/>
        <v/>
      </c>
      <c r="U532" s="197" t="str">
        <f t="shared" si="86"/>
        <v/>
      </c>
      <c r="V532" s="198" t="str">
        <f t="shared" si="83"/>
        <v/>
      </c>
      <c r="W532" s="339" t="str">
        <f t="shared" si="87"/>
        <v/>
      </c>
      <c r="X532" s="341" t="str">
        <f t="shared" si="88"/>
        <v/>
      </c>
      <c r="Y532" s="277"/>
      <c r="AR532" t="str">
        <f t="shared" si="89"/>
        <v/>
      </c>
      <c r="AS532" t="str">
        <f t="shared" si="90"/>
        <v/>
      </c>
    </row>
    <row r="533" spans="1:45">
      <c r="A533" s="294"/>
      <c r="B533" s="295"/>
      <c r="C533" s="296"/>
      <c r="D533" s="296"/>
      <c r="E533" s="296"/>
      <c r="F533" s="296"/>
      <c r="G533" s="297"/>
      <c r="H533" s="303"/>
      <c r="I533" s="298"/>
      <c r="J533" s="298"/>
      <c r="K533" s="299"/>
      <c r="L533" s="304"/>
      <c r="M533" s="300"/>
      <c r="N533" s="301"/>
      <c r="P533" s="193" t="str">
        <f>IF(R533 = "", "", COUNT(R$4:$R533))</f>
        <v/>
      </c>
      <c r="Q533" s="193" t="str">
        <f t="shared" si="81"/>
        <v/>
      </c>
      <c r="R533" s="194" t="str">
        <f t="shared" si="82"/>
        <v/>
      </c>
      <c r="S533" s="195" t="str">
        <f t="shared" si="84"/>
        <v/>
      </c>
      <c r="T533" s="196" t="str">
        <f t="shared" si="85"/>
        <v/>
      </c>
      <c r="U533" s="197" t="str">
        <f t="shared" si="86"/>
        <v/>
      </c>
      <c r="V533" s="198" t="str">
        <f t="shared" si="83"/>
        <v/>
      </c>
      <c r="W533" s="339" t="str">
        <f t="shared" si="87"/>
        <v/>
      </c>
      <c r="X533" s="341" t="str">
        <f t="shared" si="88"/>
        <v/>
      </c>
      <c r="Y533" s="277"/>
      <c r="AR533" t="str">
        <f t="shared" si="89"/>
        <v/>
      </c>
      <c r="AS533" t="str">
        <f t="shared" si="90"/>
        <v/>
      </c>
    </row>
    <row r="534" spans="1:45">
      <c r="A534" s="294"/>
      <c r="B534" s="295"/>
      <c r="C534" s="296"/>
      <c r="D534" s="296"/>
      <c r="E534" s="296"/>
      <c r="F534" s="296"/>
      <c r="G534" s="297"/>
      <c r="H534" s="303"/>
      <c r="I534" s="298"/>
      <c r="J534" s="298"/>
      <c r="K534" s="299"/>
      <c r="L534" s="304"/>
      <c r="M534" s="300"/>
      <c r="N534" s="301"/>
      <c r="P534" s="193" t="str">
        <f>IF(R534 = "", "", COUNT(R$4:$R534))</f>
        <v/>
      </c>
      <c r="Q534" s="193" t="str">
        <f t="shared" si="81"/>
        <v/>
      </c>
      <c r="R534" s="194" t="str">
        <f t="shared" si="82"/>
        <v/>
      </c>
      <c r="S534" s="195" t="str">
        <f t="shared" si="84"/>
        <v/>
      </c>
      <c r="T534" s="196" t="str">
        <f t="shared" si="85"/>
        <v/>
      </c>
      <c r="U534" s="197" t="str">
        <f t="shared" si="86"/>
        <v/>
      </c>
      <c r="V534" s="198" t="str">
        <f t="shared" si="83"/>
        <v/>
      </c>
      <c r="W534" s="339" t="str">
        <f t="shared" si="87"/>
        <v/>
      </c>
      <c r="X534" s="341" t="str">
        <f t="shared" si="88"/>
        <v/>
      </c>
      <c r="Y534" s="277"/>
      <c r="AR534" t="str">
        <f t="shared" si="89"/>
        <v/>
      </c>
      <c r="AS534" t="str">
        <f t="shared" si="90"/>
        <v/>
      </c>
    </row>
    <row r="535" spans="1:45">
      <c r="A535" s="294"/>
      <c r="B535" s="295"/>
      <c r="C535" s="296"/>
      <c r="D535" s="296"/>
      <c r="E535" s="296"/>
      <c r="F535" s="296"/>
      <c r="G535" s="297"/>
      <c r="H535" s="303"/>
      <c r="I535" s="298"/>
      <c r="J535" s="298"/>
      <c r="K535" s="299"/>
      <c r="L535" s="304"/>
      <c r="M535" s="300"/>
      <c r="N535" s="301"/>
      <c r="P535" s="193" t="str">
        <f>IF(R535 = "", "", COUNT(R$4:$R535))</f>
        <v/>
      </c>
      <c r="Q535" s="193" t="str">
        <f t="shared" si="81"/>
        <v/>
      </c>
      <c r="R535" s="194" t="str">
        <f t="shared" si="82"/>
        <v/>
      </c>
      <c r="S535" s="195" t="str">
        <f t="shared" si="84"/>
        <v/>
      </c>
      <c r="T535" s="196" t="str">
        <f t="shared" si="85"/>
        <v/>
      </c>
      <c r="U535" s="197" t="str">
        <f t="shared" si="86"/>
        <v/>
      </c>
      <c r="V535" s="198" t="str">
        <f t="shared" si="83"/>
        <v/>
      </c>
      <c r="W535" s="339" t="str">
        <f t="shared" si="87"/>
        <v/>
      </c>
      <c r="X535" s="341" t="str">
        <f t="shared" si="88"/>
        <v/>
      </c>
      <c r="Y535" s="277"/>
      <c r="AR535" t="str">
        <f t="shared" si="89"/>
        <v/>
      </c>
      <c r="AS535" t="str">
        <f t="shared" si="90"/>
        <v/>
      </c>
    </row>
    <row r="536" spans="1:45">
      <c r="A536" s="294"/>
      <c r="B536" s="295"/>
      <c r="C536" s="296"/>
      <c r="D536" s="296"/>
      <c r="E536" s="296"/>
      <c r="F536" s="296"/>
      <c r="G536" s="297"/>
      <c r="H536" s="303"/>
      <c r="I536" s="298"/>
      <c r="J536" s="298"/>
      <c r="K536" s="299"/>
      <c r="L536" s="304"/>
      <c r="M536" s="300"/>
      <c r="N536" s="301"/>
      <c r="P536" s="193" t="str">
        <f>IF(R536 = "", "", COUNT(R$4:$R536))</f>
        <v/>
      </c>
      <c r="Q536" s="193" t="str">
        <f t="shared" si="81"/>
        <v/>
      </c>
      <c r="R536" s="194" t="str">
        <f t="shared" si="82"/>
        <v/>
      </c>
      <c r="S536" s="195" t="str">
        <f t="shared" si="84"/>
        <v/>
      </c>
      <c r="T536" s="196" t="str">
        <f t="shared" si="85"/>
        <v/>
      </c>
      <c r="U536" s="197" t="str">
        <f t="shared" si="86"/>
        <v/>
      </c>
      <c r="V536" s="198" t="str">
        <f t="shared" si="83"/>
        <v/>
      </c>
      <c r="W536" s="339" t="str">
        <f t="shared" si="87"/>
        <v/>
      </c>
      <c r="X536" s="341" t="str">
        <f t="shared" si="88"/>
        <v/>
      </c>
      <c r="Y536" s="277"/>
      <c r="AR536" t="str">
        <f t="shared" si="89"/>
        <v/>
      </c>
      <c r="AS536" t="str">
        <f t="shared" si="90"/>
        <v/>
      </c>
    </row>
    <row r="537" spans="1:45">
      <c r="A537" s="294"/>
      <c r="B537" s="295"/>
      <c r="C537" s="296"/>
      <c r="D537" s="296"/>
      <c r="E537" s="296"/>
      <c r="F537" s="296"/>
      <c r="G537" s="297"/>
      <c r="H537" s="303"/>
      <c r="I537" s="298"/>
      <c r="J537" s="298"/>
      <c r="K537" s="299"/>
      <c r="L537" s="304"/>
      <c r="M537" s="300"/>
      <c r="N537" s="301"/>
      <c r="P537" s="193" t="str">
        <f>IF(R537 = "", "", COUNT(R$4:$R537))</f>
        <v/>
      </c>
      <c r="Q537" s="193" t="str">
        <f t="shared" si="81"/>
        <v/>
      </c>
      <c r="R537" s="194" t="str">
        <f t="shared" si="82"/>
        <v/>
      </c>
      <c r="S537" s="195" t="str">
        <f t="shared" si="84"/>
        <v/>
      </c>
      <c r="T537" s="196" t="str">
        <f t="shared" si="85"/>
        <v/>
      </c>
      <c r="U537" s="197" t="str">
        <f t="shared" si="86"/>
        <v/>
      </c>
      <c r="V537" s="198" t="str">
        <f t="shared" si="83"/>
        <v/>
      </c>
      <c r="W537" s="339" t="str">
        <f t="shared" si="87"/>
        <v/>
      </c>
      <c r="X537" s="341" t="str">
        <f t="shared" si="88"/>
        <v/>
      </c>
      <c r="Y537" s="277"/>
      <c r="AR537" t="str">
        <f t="shared" si="89"/>
        <v/>
      </c>
      <c r="AS537" t="str">
        <f t="shared" si="90"/>
        <v/>
      </c>
    </row>
    <row r="538" spans="1:45">
      <c r="A538" s="294"/>
      <c r="B538" s="295"/>
      <c r="C538" s="296"/>
      <c r="D538" s="296"/>
      <c r="E538" s="296"/>
      <c r="F538" s="296"/>
      <c r="G538" s="297"/>
      <c r="H538" s="303"/>
      <c r="I538" s="298"/>
      <c r="J538" s="298"/>
      <c r="K538" s="299"/>
      <c r="L538" s="304"/>
      <c r="M538" s="300"/>
      <c r="N538" s="301"/>
      <c r="P538" s="193" t="str">
        <f>IF(R538 = "", "", COUNT(R$4:$R538))</f>
        <v/>
      </c>
      <c r="Q538" s="193" t="str">
        <f t="shared" si="81"/>
        <v/>
      </c>
      <c r="R538" s="194" t="str">
        <f t="shared" si="82"/>
        <v/>
      </c>
      <c r="S538" s="195" t="str">
        <f t="shared" si="84"/>
        <v/>
      </c>
      <c r="T538" s="196" t="str">
        <f t="shared" si="85"/>
        <v/>
      </c>
      <c r="U538" s="197" t="str">
        <f t="shared" si="86"/>
        <v/>
      </c>
      <c r="V538" s="198" t="str">
        <f t="shared" si="83"/>
        <v/>
      </c>
      <c r="W538" s="339" t="str">
        <f t="shared" si="87"/>
        <v/>
      </c>
      <c r="X538" s="341" t="str">
        <f t="shared" si="88"/>
        <v/>
      </c>
      <c r="Y538" s="277"/>
      <c r="AR538" t="str">
        <f t="shared" si="89"/>
        <v/>
      </c>
      <c r="AS538" t="str">
        <f t="shared" si="90"/>
        <v/>
      </c>
    </row>
    <row r="539" spans="1:45">
      <c r="A539" s="294"/>
      <c r="B539" s="295"/>
      <c r="C539" s="296"/>
      <c r="D539" s="296"/>
      <c r="E539" s="296"/>
      <c r="F539" s="296"/>
      <c r="G539" s="297"/>
      <c r="H539" s="303"/>
      <c r="I539" s="298"/>
      <c r="J539" s="298"/>
      <c r="K539" s="299"/>
      <c r="L539" s="304"/>
      <c r="M539" s="300"/>
      <c r="N539" s="301"/>
      <c r="P539" s="193" t="str">
        <f>IF(R539 = "", "", COUNT(R$4:$R539))</f>
        <v/>
      </c>
      <c r="Q539" s="193" t="str">
        <f t="shared" si="81"/>
        <v/>
      </c>
      <c r="R539" s="194" t="str">
        <f t="shared" si="82"/>
        <v/>
      </c>
      <c r="S539" s="195" t="str">
        <f t="shared" si="84"/>
        <v/>
      </c>
      <c r="T539" s="196" t="str">
        <f t="shared" si="85"/>
        <v/>
      </c>
      <c r="U539" s="197" t="str">
        <f t="shared" si="86"/>
        <v/>
      </c>
      <c r="V539" s="198" t="str">
        <f t="shared" si="83"/>
        <v/>
      </c>
      <c r="W539" s="339" t="str">
        <f t="shared" si="87"/>
        <v/>
      </c>
      <c r="X539" s="341" t="str">
        <f t="shared" si="88"/>
        <v/>
      </c>
      <c r="Y539" s="277"/>
      <c r="AR539" t="str">
        <f t="shared" si="89"/>
        <v/>
      </c>
      <c r="AS539" t="str">
        <f t="shared" si="90"/>
        <v/>
      </c>
    </row>
    <row r="540" spans="1:45">
      <c r="A540" s="294"/>
      <c r="B540" s="295"/>
      <c r="C540" s="296"/>
      <c r="D540" s="296"/>
      <c r="E540" s="296"/>
      <c r="F540" s="296"/>
      <c r="G540" s="297"/>
      <c r="H540" s="303"/>
      <c r="I540" s="298"/>
      <c r="J540" s="298"/>
      <c r="K540" s="299"/>
      <c r="L540" s="304"/>
      <c r="M540" s="300"/>
      <c r="N540" s="301"/>
      <c r="P540" s="193" t="str">
        <f>IF(R540 = "", "", COUNT(R$4:$R540))</f>
        <v/>
      </c>
      <c r="Q540" s="193" t="str">
        <f t="shared" si="81"/>
        <v/>
      </c>
      <c r="R540" s="194" t="str">
        <f t="shared" si="82"/>
        <v/>
      </c>
      <c r="S540" s="195" t="str">
        <f t="shared" si="84"/>
        <v/>
      </c>
      <c r="T540" s="196" t="str">
        <f t="shared" si="85"/>
        <v/>
      </c>
      <c r="U540" s="197" t="str">
        <f t="shared" si="86"/>
        <v/>
      </c>
      <c r="V540" s="198" t="str">
        <f t="shared" si="83"/>
        <v/>
      </c>
      <c r="W540" s="339" t="str">
        <f t="shared" si="87"/>
        <v/>
      </c>
      <c r="X540" s="341" t="str">
        <f t="shared" si="88"/>
        <v/>
      </c>
      <c r="Y540" s="277"/>
      <c r="AR540" t="str">
        <f t="shared" si="89"/>
        <v/>
      </c>
      <c r="AS540" t="str">
        <f t="shared" si="90"/>
        <v/>
      </c>
    </row>
    <row r="541" spans="1:45">
      <c r="A541" s="294"/>
      <c r="B541" s="295"/>
      <c r="C541" s="296"/>
      <c r="D541" s="296"/>
      <c r="E541" s="296"/>
      <c r="F541" s="296"/>
      <c r="G541" s="297"/>
      <c r="H541" s="303"/>
      <c r="I541" s="298"/>
      <c r="J541" s="298"/>
      <c r="K541" s="299"/>
      <c r="L541" s="304"/>
      <c r="M541" s="300"/>
      <c r="N541" s="301"/>
      <c r="P541" s="193" t="str">
        <f>IF(R541 = "", "", COUNT(R$4:$R541))</f>
        <v/>
      </c>
      <c r="Q541" s="193" t="str">
        <f t="shared" si="81"/>
        <v/>
      </c>
      <c r="R541" s="194" t="str">
        <f t="shared" si="82"/>
        <v/>
      </c>
      <c r="S541" s="195" t="str">
        <f t="shared" si="84"/>
        <v/>
      </c>
      <c r="T541" s="196" t="str">
        <f t="shared" si="85"/>
        <v/>
      </c>
      <c r="U541" s="197" t="str">
        <f t="shared" si="86"/>
        <v/>
      </c>
      <c r="V541" s="198" t="str">
        <f t="shared" si="83"/>
        <v/>
      </c>
      <c r="W541" s="339" t="str">
        <f t="shared" si="87"/>
        <v/>
      </c>
      <c r="X541" s="341" t="str">
        <f t="shared" si="88"/>
        <v/>
      </c>
      <c r="Y541" s="277"/>
      <c r="AR541" t="str">
        <f t="shared" si="89"/>
        <v/>
      </c>
      <c r="AS541" t="str">
        <f t="shared" si="90"/>
        <v/>
      </c>
    </row>
    <row r="542" spans="1:45">
      <c r="A542" s="294"/>
      <c r="B542" s="295"/>
      <c r="C542" s="296"/>
      <c r="D542" s="296"/>
      <c r="E542" s="296"/>
      <c r="F542" s="296"/>
      <c r="G542" s="297"/>
      <c r="H542" s="303"/>
      <c r="I542" s="298"/>
      <c r="J542" s="298"/>
      <c r="K542" s="299"/>
      <c r="L542" s="304"/>
      <c r="M542" s="300"/>
      <c r="N542" s="301"/>
      <c r="P542" s="193" t="str">
        <f>IF(R542 = "", "", COUNT(R$4:$R542))</f>
        <v/>
      </c>
      <c r="Q542" s="193" t="str">
        <f t="shared" si="81"/>
        <v/>
      </c>
      <c r="R542" s="194" t="str">
        <f t="shared" si="82"/>
        <v/>
      </c>
      <c r="S542" s="195" t="str">
        <f t="shared" si="84"/>
        <v/>
      </c>
      <c r="T542" s="196" t="str">
        <f t="shared" si="85"/>
        <v/>
      </c>
      <c r="U542" s="197" t="str">
        <f t="shared" si="86"/>
        <v/>
      </c>
      <c r="V542" s="198" t="str">
        <f t="shared" si="83"/>
        <v/>
      </c>
      <c r="W542" s="339" t="str">
        <f t="shared" si="87"/>
        <v/>
      </c>
      <c r="X542" s="341" t="str">
        <f t="shared" si="88"/>
        <v/>
      </c>
      <c r="Y542" s="277"/>
      <c r="AR542" t="str">
        <f t="shared" si="89"/>
        <v/>
      </c>
      <c r="AS542" t="str">
        <f t="shared" si="90"/>
        <v/>
      </c>
    </row>
    <row r="543" spans="1:45">
      <c r="A543" s="294"/>
      <c r="B543" s="295"/>
      <c r="C543" s="296"/>
      <c r="D543" s="296"/>
      <c r="E543" s="296"/>
      <c r="F543" s="296"/>
      <c r="G543" s="297"/>
      <c r="H543" s="303"/>
      <c r="I543" s="298"/>
      <c r="J543" s="298"/>
      <c r="K543" s="299"/>
      <c r="L543" s="304"/>
      <c r="M543" s="300"/>
      <c r="N543" s="301"/>
      <c r="P543" s="193" t="str">
        <f>IF(R543 = "", "", COUNT(R$4:$R543))</f>
        <v/>
      </c>
      <c r="Q543" s="193" t="str">
        <f t="shared" si="81"/>
        <v/>
      </c>
      <c r="R543" s="194" t="str">
        <f t="shared" si="82"/>
        <v/>
      </c>
      <c r="S543" s="195" t="str">
        <f t="shared" si="84"/>
        <v/>
      </c>
      <c r="T543" s="196" t="str">
        <f t="shared" si="85"/>
        <v/>
      </c>
      <c r="U543" s="197" t="str">
        <f t="shared" si="86"/>
        <v/>
      </c>
      <c r="V543" s="198" t="str">
        <f t="shared" si="83"/>
        <v/>
      </c>
      <c r="W543" s="339" t="str">
        <f t="shared" si="87"/>
        <v/>
      </c>
      <c r="X543" s="341" t="str">
        <f t="shared" si="88"/>
        <v/>
      </c>
      <c r="Y543" s="277"/>
      <c r="AR543" t="str">
        <f t="shared" si="89"/>
        <v/>
      </c>
      <c r="AS543" t="str">
        <f t="shared" si="90"/>
        <v/>
      </c>
    </row>
    <row r="544" spans="1:45">
      <c r="A544" s="294"/>
      <c r="B544" s="295"/>
      <c r="C544" s="296"/>
      <c r="D544" s="296"/>
      <c r="E544" s="296"/>
      <c r="F544" s="296"/>
      <c r="G544" s="297"/>
      <c r="H544" s="303"/>
      <c r="I544" s="298"/>
      <c r="J544" s="298"/>
      <c r="K544" s="299"/>
      <c r="L544" s="304"/>
      <c r="M544" s="300"/>
      <c r="N544" s="301"/>
      <c r="P544" s="193" t="str">
        <f>IF(R544 = "", "", COUNT(R$4:$R544))</f>
        <v/>
      </c>
      <c r="Q544" s="193" t="str">
        <f t="shared" si="81"/>
        <v/>
      </c>
      <c r="R544" s="194" t="str">
        <f t="shared" si="82"/>
        <v/>
      </c>
      <c r="S544" s="195" t="str">
        <f t="shared" si="84"/>
        <v/>
      </c>
      <c r="T544" s="196" t="str">
        <f t="shared" si="85"/>
        <v/>
      </c>
      <c r="U544" s="197" t="str">
        <f t="shared" si="86"/>
        <v/>
      </c>
      <c r="V544" s="198" t="str">
        <f t="shared" si="83"/>
        <v/>
      </c>
      <c r="W544" s="339" t="str">
        <f t="shared" si="87"/>
        <v/>
      </c>
      <c r="X544" s="341" t="str">
        <f t="shared" si="88"/>
        <v/>
      </c>
      <c r="Y544" s="277"/>
      <c r="AR544" t="str">
        <f t="shared" si="89"/>
        <v/>
      </c>
      <c r="AS544" t="str">
        <f t="shared" si="90"/>
        <v/>
      </c>
    </row>
    <row r="545" spans="1:45">
      <c r="A545" s="294"/>
      <c r="B545" s="295"/>
      <c r="C545" s="296"/>
      <c r="D545" s="296"/>
      <c r="E545" s="296"/>
      <c r="F545" s="296"/>
      <c r="G545" s="297"/>
      <c r="H545" s="303"/>
      <c r="I545" s="298"/>
      <c r="J545" s="298"/>
      <c r="K545" s="299"/>
      <c r="L545" s="304"/>
      <c r="M545" s="300"/>
      <c r="N545" s="301"/>
      <c r="P545" s="193" t="str">
        <f>IF(R545 = "", "", COUNT(R$4:$R545))</f>
        <v/>
      </c>
      <c r="Q545" s="193" t="str">
        <f t="shared" si="81"/>
        <v/>
      </c>
      <c r="R545" s="194" t="str">
        <f t="shared" si="82"/>
        <v/>
      </c>
      <c r="S545" s="195" t="str">
        <f t="shared" si="84"/>
        <v/>
      </c>
      <c r="T545" s="196" t="str">
        <f t="shared" si="85"/>
        <v/>
      </c>
      <c r="U545" s="197" t="str">
        <f t="shared" si="86"/>
        <v/>
      </c>
      <c r="V545" s="198" t="str">
        <f t="shared" si="83"/>
        <v/>
      </c>
      <c r="W545" s="339" t="str">
        <f t="shared" si="87"/>
        <v/>
      </c>
      <c r="X545" s="341" t="str">
        <f t="shared" si="88"/>
        <v/>
      </c>
      <c r="Y545" s="277"/>
      <c r="AR545" t="str">
        <f t="shared" si="89"/>
        <v/>
      </c>
      <c r="AS545" t="str">
        <f t="shared" si="90"/>
        <v/>
      </c>
    </row>
    <row r="546" spans="1:45">
      <c r="A546" s="294"/>
      <c r="B546" s="295"/>
      <c r="C546" s="296"/>
      <c r="D546" s="296"/>
      <c r="E546" s="296"/>
      <c r="F546" s="296"/>
      <c r="G546" s="297"/>
      <c r="H546" s="303"/>
      <c r="I546" s="298"/>
      <c r="J546" s="298"/>
      <c r="K546" s="299"/>
      <c r="L546" s="304"/>
      <c r="M546" s="300"/>
      <c r="N546" s="301"/>
      <c r="P546" s="193" t="str">
        <f>IF(R546 = "", "", COUNT(R$4:$R546))</f>
        <v/>
      </c>
      <c r="Q546" s="193" t="str">
        <f t="shared" si="81"/>
        <v/>
      </c>
      <c r="R546" s="194" t="str">
        <f t="shared" si="82"/>
        <v/>
      </c>
      <c r="S546" s="195" t="str">
        <f t="shared" si="84"/>
        <v/>
      </c>
      <c r="T546" s="196" t="str">
        <f t="shared" si="85"/>
        <v/>
      </c>
      <c r="U546" s="197" t="str">
        <f t="shared" si="86"/>
        <v/>
      </c>
      <c r="V546" s="198" t="str">
        <f t="shared" si="83"/>
        <v/>
      </c>
      <c r="W546" s="339" t="str">
        <f t="shared" si="87"/>
        <v/>
      </c>
      <c r="X546" s="341" t="str">
        <f t="shared" si="88"/>
        <v/>
      </c>
      <c r="Y546" s="277"/>
      <c r="AR546" t="str">
        <f t="shared" si="89"/>
        <v/>
      </c>
      <c r="AS546" t="str">
        <f t="shared" si="90"/>
        <v/>
      </c>
    </row>
    <row r="547" spans="1:45">
      <c r="A547" s="294"/>
      <c r="B547" s="295"/>
      <c r="C547" s="296"/>
      <c r="D547" s="296"/>
      <c r="E547" s="296"/>
      <c r="F547" s="296"/>
      <c r="G547" s="297"/>
      <c r="H547" s="303"/>
      <c r="I547" s="298"/>
      <c r="J547" s="298"/>
      <c r="K547" s="299"/>
      <c r="L547" s="304"/>
      <c r="M547" s="300"/>
      <c r="N547" s="301"/>
      <c r="P547" s="193" t="str">
        <f>IF(R547 = "", "", COUNT(R$4:$R547))</f>
        <v/>
      </c>
      <c r="Q547" s="193" t="str">
        <f t="shared" si="81"/>
        <v/>
      </c>
      <c r="R547" s="194" t="str">
        <f t="shared" si="82"/>
        <v/>
      </c>
      <c r="S547" s="195" t="str">
        <f t="shared" si="84"/>
        <v/>
      </c>
      <c r="T547" s="196" t="str">
        <f t="shared" si="85"/>
        <v/>
      </c>
      <c r="U547" s="197" t="str">
        <f t="shared" si="86"/>
        <v/>
      </c>
      <c r="V547" s="198" t="str">
        <f t="shared" si="83"/>
        <v/>
      </c>
      <c r="W547" s="339" t="str">
        <f t="shared" si="87"/>
        <v/>
      </c>
      <c r="X547" s="341" t="str">
        <f t="shared" si="88"/>
        <v/>
      </c>
      <c r="Y547" s="277"/>
      <c r="AR547" t="str">
        <f t="shared" si="89"/>
        <v/>
      </c>
      <c r="AS547" t="str">
        <f t="shared" si="90"/>
        <v/>
      </c>
    </row>
    <row r="548" spans="1:45">
      <c r="A548" s="294"/>
      <c r="B548" s="295"/>
      <c r="C548" s="296"/>
      <c r="D548" s="296"/>
      <c r="E548" s="296"/>
      <c r="F548" s="296"/>
      <c r="G548" s="297"/>
      <c r="H548" s="303"/>
      <c r="I548" s="298"/>
      <c r="J548" s="298"/>
      <c r="K548" s="299"/>
      <c r="L548" s="304"/>
      <c r="M548" s="300"/>
      <c r="N548" s="301"/>
      <c r="P548" s="193" t="str">
        <f>IF(R548 = "", "", COUNT(R$4:$R548))</f>
        <v/>
      </c>
      <c r="Q548" s="193" t="str">
        <f t="shared" si="81"/>
        <v/>
      </c>
      <c r="R548" s="194" t="str">
        <f t="shared" si="82"/>
        <v/>
      </c>
      <c r="S548" s="195" t="str">
        <f t="shared" si="84"/>
        <v/>
      </c>
      <c r="T548" s="196" t="str">
        <f t="shared" si="85"/>
        <v/>
      </c>
      <c r="U548" s="197" t="str">
        <f t="shared" si="86"/>
        <v/>
      </c>
      <c r="V548" s="198" t="str">
        <f t="shared" si="83"/>
        <v/>
      </c>
      <c r="W548" s="339" t="str">
        <f t="shared" si="87"/>
        <v/>
      </c>
      <c r="X548" s="341" t="str">
        <f t="shared" si="88"/>
        <v/>
      </c>
      <c r="Y548" s="277"/>
      <c r="AR548" t="str">
        <f t="shared" si="89"/>
        <v/>
      </c>
      <c r="AS548" t="str">
        <f t="shared" si="90"/>
        <v/>
      </c>
    </row>
    <row r="549" spans="1:45">
      <c r="A549" s="294"/>
      <c r="B549" s="295"/>
      <c r="C549" s="296"/>
      <c r="D549" s="296"/>
      <c r="E549" s="296"/>
      <c r="F549" s="296"/>
      <c r="G549" s="297"/>
      <c r="H549" s="303"/>
      <c r="I549" s="298"/>
      <c r="J549" s="298"/>
      <c r="K549" s="299"/>
      <c r="L549" s="304"/>
      <c r="M549" s="300"/>
      <c r="N549" s="301"/>
      <c r="P549" s="193" t="str">
        <f>IF(R549 = "", "", COUNT(R$4:$R549))</f>
        <v/>
      </c>
      <c r="Q549" s="193" t="str">
        <f t="shared" si="81"/>
        <v/>
      </c>
      <c r="R549" s="194" t="str">
        <f t="shared" si="82"/>
        <v/>
      </c>
      <c r="S549" s="195" t="str">
        <f t="shared" si="84"/>
        <v/>
      </c>
      <c r="T549" s="196" t="str">
        <f t="shared" si="85"/>
        <v/>
      </c>
      <c r="U549" s="197" t="str">
        <f t="shared" si="86"/>
        <v/>
      </c>
      <c r="V549" s="198" t="str">
        <f t="shared" si="83"/>
        <v/>
      </c>
      <c r="W549" s="339" t="str">
        <f t="shared" si="87"/>
        <v/>
      </c>
      <c r="X549" s="341" t="str">
        <f t="shared" si="88"/>
        <v/>
      </c>
      <c r="Y549" s="277"/>
      <c r="AR549" t="str">
        <f t="shared" si="89"/>
        <v/>
      </c>
      <c r="AS549" t="str">
        <f t="shared" si="90"/>
        <v/>
      </c>
    </row>
    <row r="550" spans="1:45">
      <c r="A550" s="294"/>
      <c r="B550" s="295"/>
      <c r="C550" s="296"/>
      <c r="D550" s="296"/>
      <c r="E550" s="296"/>
      <c r="F550" s="296"/>
      <c r="G550" s="297"/>
      <c r="H550" s="303"/>
      <c r="I550" s="298"/>
      <c r="J550" s="298"/>
      <c r="K550" s="299"/>
      <c r="L550" s="304"/>
      <c r="M550" s="300"/>
      <c r="N550" s="301"/>
      <c r="P550" s="193" t="str">
        <f>IF(R550 = "", "", COUNT(R$4:$R550))</f>
        <v/>
      </c>
      <c r="Q550" s="193" t="str">
        <f t="shared" si="81"/>
        <v/>
      </c>
      <c r="R550" s="194" t="str">
        <f t="shared" si="82"/>
        <v/>
      </c>
      <c r="S550" s="195" t="str">
        <f t="shared" si="84"/>
        <v/>
      </c>
      <c r="T550" s="196" t="str">
        <f t="shared" si="85"/>
        <v/>
      </c>
      <c r="U550" s="197" t="str">
        <f t="shared" si="86"/>
        <v/>
      </c>
      <c r="V550" s="198" t="str">
        <f t="shared" si="83"/>
        <v/>
      </c>
      <c r="W550" s="339" t="str">
        <f t="shared" si="87"/>
        <v/>
      </c>
      <c r="X550" s="341" t="str">
        <f t="shared" si="88"/>
        <v/>
      </c>
      <c r="Y550" s="277"/>
      <c r="AR550" t="str">
        <f t="shared" si="89"/>
        <v/>
      </c>
      <c r="AS550" t="str">
        <f t="shared" si="90"/>
        <v/>
      </c>
    </row>
    <row r="551" spans="1:45">
      <c r="A551" s="294"/>
      <c r="B551" s="295"/>
      <c r="C551" s="296"/>
      <c r="D551" s="296"/>
      <c r="E551" s="296"/>
      <c r="F551" s="296"/>
      <c r="G551" s="297"/>
      <c r="H551" s="303"/>
      <c r="I551" s="298"/>
      <c r="J551" s="298"/>
      <c r="K551" s="299"/>
      <c r="L551" s="304"/>
      <c r="M551" s="300"/>
      <c r="N551" s="301"/>
      <c r="P551" s="193" t="str">
        <f>IF(R551 = "", "", COUNT(R$4:$R551))</f>
        <v/>
      </c>
      <c r="Q551" s="193" t="str">
        <f t="shared" si="81"/>
        <v/>
      </c>
      <c r="R551" s="194" t="str">
        <f t="shared" si="82"/>
        <v/>
      </c>
      <c r="S551" s="195" t="str">
        <f t="shared" si="84"/>
        <v/>
      </c>
      <c r="T551" s="196" t="str">
        <f t="shared" si="85"/>
        <v/>
      </c>
      <c r="U551" s="197" t="str">
        <f t="shared" si="86"/>
        <v/>
      </c>
      <c r="V551" s="198" t="str">
        <f t="shared" si="83"/>
        <v/>
      </c>
      <c r="W551" s="339" t="str">
        <f t="shared" si="87"/>
        <v/>
      </c>
      <c r="X551" s="341" t="str">
        <f t="shared" si="88"/>
        <v/>
      </c>
      <c r="Y551" s="277"/>
      <c r="AR551" t="str">
        <f t="shared" si="89"/>
        <v/>
      </c>
      <c r="AS551" t="str">
        <f t="shared" si="90"/>
        <v/>
      </c>
    </row>
    <row r="552" spans="1:45">
      <c r="A552" s="294"/>
      <c r="B552" s="295"/>
      <c r="C552" s="296"/>
      <c r="D552" s="296"/>
      <c r="E552" s="296"/>
      <c r="F552" s="296"/>
      <c r="G552" s="297"/>
      <c r="H552" s="303"/>
      <c r="I552" s="298"/>
      <c r="J552" s="298"/>
      <c r="K552" s="299"/>
      <c r="L552" s="304"/>
      <c r="M552" s="300"/>
      <c r="N552" s="301"/>
      <c r="P552" s="193" t="str">
        <f>IF(R552 = "", "", COUNT(R$4:$R552))</f>
        <v/>
      </c>
      <c r="Q552" s="193" t="str">
        <f t="shared" si="81"/>
        <v/>
      </c>
      <c r="R552" s="194" t="str">
        <f t="shared" si="82"/>
        <v/>
      </c>
      <c r="S552" s="195" t="str">
        <f t="shared" si="84"/>
        <v/>
      </c>
      <c r="T552" s="196" t="str">
        <f t="shared" si="85"/>
        <v/>
      </c>
      <c r="U552" s="197" t="str">
        <f t="shared" si="86"/>
        <v/>
      </c>
      <c r="V552" s="198" t="str">
        <f t="shared" si="83"/>
        <v/>
      </c>
      <c r="W552" s="339" t="str">
        <f t="shared" si="87"/>
        <v/>
      </c>
      <c r="X552" s="341" t="str">
        <f t="shared" si="88"/>
        <v/>
      </c>
      <c r="Y552" s="277"/>
      <c r="AR552" t="str">
        <f t="shared" si="89"/>
        <v/>
      </c>
      <c r="AS552" t="str">
        <f t="shared" si="90"/>
        <v/>
      </c>
    </row>
    <row r="553" spans="1:45">
      <c r="A553" s="294"/>
      <c r="B553" s="295"/>
      <c r="C553" s="296"/>
      <c r="D553" s="296"/>
      <c r="E553" s="296"/>
      <c r="F553" s="296"/>
      <c r="G553" s="297"/>
      <c r="H553" s="303"/>
      <c r="I553" s="298"/>
      <c r="J553" s="298"/>
      <c r="K553" s="299"/>
      <c r="L553" s="304"/>
      <c r="M553" s="300"/>
      <c r="N553" s="301"/>
      <c r="P553" s="193" t="str">
        <f>IF(R553 = "", "", COUNT(R$4:$R553))</f>
        <v/>
      </c>
      <c r="Q553" s="193" t="str">
        <f t="shared" si="81"/>
        <v/>
      </c>
      <c r="R553" s="194" t="str">
        <f t="shared" si="82"/>
        <v/>
      </c>
      <c r="S553" s="195" t="str">
        <f t="shared" si="84"/>
        <v/>
      </c>
      <c r="T553" s="196" t="str">
        <f t="shared" si="85"/>
        <v/>
      </c>
      <c r="U553" s="197" t="str">
        <f t="shared" si="86"/>
        <v/>
      </c>
      <c r="V553" s="198" t="str">
        <f t="shared" si="83"/>
        <v/>
      </c>
      <c r="W553" s="339" t="str">
        <f t="shared" si="87"/>
        <v/>
      </c>
      <c r="X553" s="341" t="str">
        <f t="shared" si="88"/>
        <v/>
      </c>
      <c r="Y553" s="277"/>
      <c r="AR553" t="str">
        <f t="shared" si="89"/>
        <v/>
      </c>
      <c r="AS553" t="str">
        <f t="shared" si="90"/>
        <v/>
      </c>
    </row>
    <row r="554" spans="1:45">
      <c r="A554" s="294"/>
      <c r="B554" s="295"/>
      <c r="C554" s="296"/>
      <c r="D554" s="296"/>
      <c r="E554" s="296"/>
      <c r="F554" s="296"/>
      <c r="G554" s="297"/>
      <c r="H554" s="303"/>
      <c r="I554" s="298"/>
      <c r="J554" s="298"/>
      <c r="K554" s="299"/>
      <c r="L554" s="304"/>
      <c r="M554" s="300"/>
      <c r="N554" s="301"/>
      <c r="P554" s="193" t="str">
        <f>IF(R554 = "", "", COUNT(R$4:$R554))</f>
        <v/>
      </c>
      <c r="Q554" s="193" t="str">
        <f t="shared" si="81"/>
        <v/>
      </c>
      <c r="R554" s="194" t="str">
        <f t="shared" si="82"/>
        <v/>
      </c>
      <c r="S554" s="195" t="str">
        <f t="shared" si="84"/>
        <v/>
      </c>
      <c r="T554" s="196" t="str">
        <f t="shared" si="85"/>
        <v/>
      </c>
      <c r="U554" s="197" t="str">
        <f t="shared" si="86"/>
        <v/>
      </c>
      <c r="V554" s="198" t="str">
        <f t="shared" si="83"/>
        <v/>
      </c>
      <c r="W554" s="339" t="str">
        <f t="shared" si="87"/>
        <v/>
      </c>
      <c r="X554" s="341" t="str">
        <f t="shared" si="88"/>
        <v/>
      </c>
      <c r="Y554" s="277"/>
      <c r="AR554" t="str">
        <f t="shared" si="89"/>
        <v/>
      </c>
      <c r="AS554" t="str">
        <f t="shared" si="90"/>
        <v/>
      </c>
    </row>
    <row r="555" spans="1:45">
      <c r="A555" s="294"/>
      <c r="B555" s="295"/>
      <c r="C555" s="296"/>
      <c r="D555" s="296"/>
      <c r="E555" s="296"/>
      <c r="F555" s="296"/>
      <c r="G555" s="297"/>
      <c r="H555" s="303"/>
      <c r="I555" s="298"/>
      <c r="J555" s="298"/>
      <c r="K555" s="299"/>
      <c r="L555" s="304"/>
      <c r="M555" s="300"/>
      <c r="N555" s="301"/>
      <c r="P555" s="193" t="str">
        <f>IF(R555 = "", "", COUNT(R$4:$R555))</f>
        <v/>
      </c>
      <c r="Q555" s="193" t="str">
        <f t="shared" si="81"/>
        <v/>
      </c>
      <c r="R555" s="194" t="str">
        <f t="shared" si="82"/>
        <v/>
      </c>
      <c r="S555" s="195" t="str">
        <f t="shared" si="84"/>
        <v/>
      </c>
      <c r="T555" s="196" t="str">
        <f t="shared" si="85"/>
        <v/>
      </c>
      <c r="U555" s="197" t="str">
        <f t="shared" si="86"/>
        <v/>
      </c>
      <c r="V555" s="198" t="str">
        <f t="shared" si="83"/>
        <v/>
      </c>
      <c r="W555" s="339" t="str">
        <f t="shared" si="87"/>
        <v/>
      </c>
      <c r="X555" s="341" t="str">
        <f t="shared" si="88"/>
        <v/>
      </c>
      <c r="Y555" s="277"/>
      <c r="AR555" t="str">
        <f t="shared" si="89"/>
        <v/>
      </c>
      <c r="AS555" t="str">
        <f t="shared" si="90"/>
        <v/>
      </c>
    </row>
    <row r="556" spans="1:45">
      <c r="A556" s="294"/>
      <c r="B556" s="295"/>
      <c r="C556" s="296"/>
      <c r="D556" s="296"/>
      <c r="E556" s="296"/>
      <c r="F556" s="296"/>
      <c r="G556" s="297"/>
      <c r="H556" s="303"/>
      <c r="I556" s="298"/>
      <c r="J556" s="298"/>
      <c r="K556" s="299"/>
      <c r="L556" s="304"/>
      <c r="M556" s="300"/>
      <c r="N556" s="301"/>
      <c r="P556" s="193" t="str">
        <f>IF(R556 = "", "", COUNT(R$4:$R556))</f>
        <v/>
      </c>
      <c r="Q556" s="193" t="str">
        <f t="shared" si="81"/>
        <v/>
      </c>
      <c r="R556" s="194" t="str">
        <f t="shared" si="82"/>
        <v/>
      </c>
      <c r="S556" s="195" t="str">
        <f t="shared" si="84"/>
        <v/>
      </c>
      <c r="T556" s="196" t="str">
        <f t="shared" si="85"/>
        <v/>
      </c>
      <c r="U556" s="197" t="str">
        <f t="shared" si="86"/>
        <v/>
      </c>
      <c r="V556" s="198" t="str">
        <f t="shared" si="83"/>
        <v/>
      </c>
      <c r="W556" s="339" t="str">
        <f t="shared" si="87"/>
        <v/>
      </c>
      <c r="X556" s="341" t="str">
        <f t="shared" si="88"/>
        <v/>
      </c>
      <c r="Y556" s="277"/>
      <c r="AR556" t="str">
        <f t="shared" si="89"/>
        <v/>
      </c>
      <c r="AS556" t="str">
        <f t="shared" si="90"/>
        <v/>
      </c>
    </row>
    <row r="557" spans="1:45">
      <c r="A557" s="294"/>
      <c r="B557" s="295"/>
      <c r="C557" s="296"/>
      <c r="D557" s="296"/>
      <c r="E557" s="296"/>
      <c r="F557" s="296"/>
      <c r="G557" s="297"/>
      <c r="H557" s="303"/>
      <c r="I557" s="298"/>
      <c r="J557" s="298"/>
      <c r="K557" s="299"/>
      <c r="L557" s="304"/>
      <c r="M557" s="300"/>
      <c r="N557" s="301"/>
      <c r="P557" s="193" t="str">
        <f>IF(R557 = "", "", COUNT(R$4:$R557))</f>
        <v/>
      </c>
      <c r="Q557" s="193" t="str">
        <f t="shared" si="81"/>
        <v/>
      </c>
      <c r="R557" s="194" t="str">
        <f t="shared" si="82"/>
        <v/>
      </c>
      <c r="S557" s="195" t="str">
        <f t="shared" si="84"/>
        <v/>
      </c>
      <c r="T557" s="196" t="str">
        <f t="shared" si="85"/>
        <v/>
      </c>
      <c r="U557" s="197" t="str">
        <f t="shared" si="86"/>
        <v/>
      </c>
      <c r="V557" s="198" t="str">
        <f t="shared" si="83"/>
        <v/>
      </c>
      <c r="W557" s="339" t="str">
        <f t="shared" si="87"/>
        <v/>
      </c>
      <c r="X557" s="341" t="str">
        <f t="shared" si="88"/>
        <v/>
      </c>
      <c r="Y557" s="277"/>
      <c r="AR557" t="str">
        <f t="shared" si="89"/>
        <v/>
      </c>
      <c r="AS557" t="str">
        <f t="shared" si="90"/>
        <v/>
      </c>
    </row>
    <row r="558" spans="1:45">
      <c r="A558" s="294"/>
      <c r="B558" s="295"/>
      <c r="C558" s="296"/>
      <c r="D558" s="296"/>
      <c r="E558" s="296"/>
      <c r="F558" s="296"/>
      <c r="G558" s="297"/>
      <c r="H558" s="303"/>
      <c r="I558" s="298"/>
      <c r="J558" s="298"/>
      <c r="K558" s="299"/>
      <c r="L558" s="304"/>
      <c r="M558" s="300"/>
      <c r="N558" s="301"/>
      <c r="P558" s="193" t="str">
        <f>IF(R558 = "", "", COUNT(R$4:$R558))</f>
        <v/>
      </c>
      <c r="Q558" s="193" t="str">
        <f t="shared" si="81"/>
        <v/>
      </c>
      <c r="R558" s="194" t="str">
        <f t="shared" si="82"/>
        <v/>
      </c>
      <c r="S558" s="195" t="str">
        <f t="shared" si="84"/>
        <v/>
      </c>
      <c r="T558" s="196" t="str">
        <f t="shared" si="85"/>
        <v/>
      </c>
      <c r="U558" s="197" t="str">
        <f t="shared" si="86"/>
        <v/>
      </c>
      <c r="V558" s="198" t="str">
        <f t="shared" si="83"/>
        <v/>
      </c>
      <c r="W558" s="339" t="str">
        <f t="shared" si="87"/>
        <v/>
      </c>
      <c r="X558" s="341" t="str">
        <f t="shared" si="88"/>
        <v/>
      </c>
      <c r="Y558" s="277"/>
      <c r="AR558" t="str">
        <f t="shared" si="89"/>
        <v/>
      </c>
      <c r="AS558" t="str">
        <f t="shared" si="90"/>
        <v/>
      </c>
    </row>
    <row r="559" spans="1:45">
      <c r="A559" s="294"/>
      <c r="B559" s="295"/>
      <c r="C559" s="296"/>
      <c r="D559" s="296"/>
      <c r="E559" s="296"/>
      <c r="F559" s="296"/>
      <c r="G559" s="297"/>
      <c r="H559" s="303"/>
      <c r="I559" s="298"/>
      <c r="J559" s="298"/>
      <c r="K559" s="299"/>
      <c r="L559" s="304"/>
      <c r="M559" s="300"/>
      <c r="N559" s="301"/>
      <c r="P559" s="193" t="str">
        <f>IF(R559 = "", "", COUNT(R$4:$R559))</f>
        <v/>
      </c>
      <c r="Q559" s="193" t="str">
        <f t="shared" si="81"/>
        <v/>
      </c>
      <c r="R559" s="194" t="str">
        <f t="shared" si="82"/>
        <v/>
      </c>
      <c r="S559" s="195" t="str">
        <f t="shared" si="84"/>
        <v/>
      </c>
      <c r="T559" s="196" t="str">
        <f t="shared" si="85"/>
        <v/>
      </c>
      <c r="U559" s="197" t="str">
        <f t="shared" si="86"/>
        <v/>
      </c>
      <c r="V559" s="198" t="str">
        <f t="shared" si="83"/>
        <v/>
      </c>
      <c r="W559" s="339" t="str">
        <f t="shared" si="87"/>
        <v/>
      </c>
      <c r="X559" s="341" t="str">
        <f t="shared" si="88"/>
        <v/>
      </c>
      <c r="Y559" s="277"/>
      <c r="AR559" t="str">
        <f t="shared" si="89"/>
        <v/>
      </c>
      <c r="AS559" t="str">
        <f t="shared" si="90"/>
        <v/>
      </c>
    </row>
    <row r="560" spans="1:45">
      <c r="A560" s="294"/>
      <c r="B560" s="295"/>
      <c r="C560" s="296"/>
      <c r="D560" s="296"/>
      <c r="E560" s="296"/>
      <c r="F560" s="296"/>
      <c r="G560" s="297"/>
      <c r="H560" s="303"/>
      <c r="I560" s="298"/>
      <c r="J560" s="298"/>
      <c r="K560" s="299"/>
      <c r="L560" s="304"/>
      <c r="M560" s="300"/>
      <c r="N560" s="301"/>
      <c r="P560" s="193" t="str">
        <f>IF(R560 = "", "", COUNT(R$4:$R560))</f>
        <v/>
      </c>
      <c r="Q560" s="193" t="str">
        <f t="shared" si="81"/>
        <v/>
      </c>
      <c r="R560" s="194" t="str">
        <f t="shared" si="82"/>
        <v/>
      </c>
      <c r="S560" s="195" t="str">
        <f t="shared" si="84"/>
        <v/>
      </c>
      <c r="T560" s="196" t="str">
        <f t="shared" si="85"/>
        <v/>
      </c>
      <c r="U560" s="197" t="str">
        <f t="shared" si="86"/>
        <v/>
      </c>
      <c r="V560" s="198" t="str">
        <f t="shared" si="83"/>
        <v/>
      </c>
      <c r="W560" s="339" t="str">
        <f t="shared" si="87"/>
        <v/>
      </c>
      <c r="X560" s="341" t="str">
        <f t="shared" si="88"/>
        <v/>
      </c>
      <c r="Y560" s="277"/>
      <c r="AR560" t="str">
        <f t="shared" si="89"/>
        <v/>
      </c>
      <c r="AS560" t="str">
        <f t="shared" si="90"/>
        <v/>
      </c>
    </row>
    <row r="561" spans="1:45">
      <c r="A561" s="294"/>
      <c r="B561" s="295"/>
      <c r="C561" s="296"/>
      <c r="D561" s="296"/>
      <c r="E561" s="296"/>
      <c r="F561" s="296"/>
      <c r="G561" s="297"/>
      <c r="H561" s="303"/>
      <c r="I561" s="298"/>
      <c r="J561" s="298"/>
      <c r="K561" s="299"/>
      <c r="L561" s="304"/>
      <c r="M561" s="300"/>
      <c r="N561" s="301"/>
      <c r="P561" s="193" t="str">
        <f>IF(R561 = "", "", COUNT(R$4:$R561))</f>
        <v/>
      </c>
      <c r="Q561" s="193" t="str">
        <f t="shared" si="81"/>
        <v/>
      </c>
      <c r="R561" s="194" t="str">
        <f t="shared" si="82"/>
        <v/>
      </c>
      <c r="S561" s="195" t="str">
        <f t="shared" si="84"/>
        <v/>
      </c>
      <c r="T561" s="196" t="str">
        <f t="shared" si="85"/>
        <v/>
      </c>
      <c r="U561" s="197" t="str">
        <f t="shared" si="86"/>
        <v/>
      </c>
      <c r="V561" s="198" t="str">
        <f t="shared" si="83"/>
        <v/>
      </c>
      <c r="W561" s="339" t="str">
        <f t="shared" si="87"/>
        <v/>
      </c>
      <c r="X561" s="341" t="str">
        <f t="shared" si="88"/>
        <v/>
      </c>
      <c r="Y561" s="277"/>
      <c r="AR561" t="str">
        <f t="shared" si="89"/>
        <v/>
      </c>
      <c r="AS561" t="str">
        <f t="shared" si="90"/>
        <v/>
      </c>
    </row>
    <row r="562" spans="1:45">
      <c r="A562" s="294"/>
      <c r="B562" s="295"/>
      <c r="C562" s="296"/>
      <c r="D562" s="296"/>
      <c r="E562" s="296"/>
      <c r="F562" s="296"/>
      <c r="G562" s="297"/>
      <c r="H562" s="303"/>
      <c r="I562" s="298"/>
      <c r="J562" s="298"/>
      <c r="K562" s="299"/>
      <c r="L562" s="304"/>
      <c r="M562" s="300"/>
      <c r="N562" s="301"/>
      <c r="P562" s="193" t="str">
        <f>IF(R562 = "", "", COUNT(R$4:$R562))</f>
        <v/>
      </c>
      <c r="Q562" s="193" t="str">
        <f t="shared" si="81"/>
        <v/>
      </c>
      <c r="R562" s="194" t="str">
        <f t="shared" si="82"/>
        <v/>
      </c>
      <c r="S562" s="195" t="str">
        <f t="shared" si="84"/>
        <v/>
      </c>
      <c r="T562" s="196" t="str">
        <f t="shared" si="85"/>
        <v/>
      </c>
      <c r="U562" s="197" t="str">
        <f t="shared" si="86"/>
        <v/>
      </c>
      <c r="V562" s="198" t="str">
        <f t="shared" si="83"/>
        <v/>
      </c>
      <c r="W562" s="339" t="str">
        <f t="shared" si="87"/>
        <v/>
      </c>
      <c r="X562" s="341" t="str">
        <f t="shared" si="88"/>
        <v/>
      </c>
      <c r="Y562" s="277"/>
      <c r="AR562" t="str">
        <f t="shared" si="89"/>
        <v/>
      </c>
      <c r="AS562" t="str">
        <f t="shared" si="90"/>
        <v/>
      </c>
    </row>
    <row r="563" spans="1:45">
      <c r="A563" s="294"/>
      <c r="B563" s="295"/>
      <c r="C563" s="296"/>
      <c r="D563" s="296"/>
      <c r="E563" s="296"/>
      <c r="F563" s="296"/>
      <c r="G563" s="297"/>
      <c r="H563" s="303"/>
      <c r="I563" s="298"/>
      <c r="J563" s="298"/>
      <c r="K563" s="299"/>
      <c r="L563" s="304"/>
      <c r="M563" s="300"/>
      <c r="N563" s="301"/>
      <c r="P563" s="193" t="str">
        <f>IF(R563 = "", "", COUNT(R$4:$R563))</f>
        <v/>
      </c>
      <c r="Q563" s="193" t="str">
        <f t="shared" si="81"/>
        <v/>
      </c>
      <c r="R563" s="194" t="str">
        <f t="shared" si="82"/>
        <v/>
      </c>
      <c r="S563" s="195" t="str">
        <f t="shared" si="84"/>
        <v/>
      </c>
      <c r="T563" s="196" t="str">
        <f t="shared" si="85"/>
        <v/>
      </c>
      <c r="U563" s="197" t="str">
        <f t="shared" si="86"/>
        <v/>
      </c>
      <c r="V563" s="198" t="str">
        <f t="shared" si="83"/>
        <v/>
      </c>
      <c r="W563" s="339" t="str">
        <f t="shared" si="87"/>
        <v/>
      </c>
      <c r="X563" s="341" t="str">
        <f t="shared" si="88"/>
        <v/>
      </c>
      <c r="Y563" s="277"/>
      <c r="AR563" t="str">
        <f t="shared" si="89"/>
        <v/>
      </c>
      <c r="AS563" t="str">
        <f t="shared" si="90"/>
        <v/>
      </c>
    </row>
    <row r="564" spans="1:45">
      <c r="A564" s="294"/>
      <c r="B564" s="295"/>
      <c r="C564" s="296"/>
      <c r="D564" s="296"/>
      <c r="E564" s="296"/>
      <c r="F564" s="296"/>
      <c r="G564" s="297"/>
      <c r="H564" s="303"/>
      <c r="I564" s="298"/>
      <c r="J564" s="298"/>
      <c r="K564" s="299"/>
      <c r="L564" s="304"/>
      <c r="M564" s="300"/>
      <c r="N564" s="301"/>
      <c r="P564" s="193" t="str">
        <f>IF(R564 = "", "", COUNT(R$4:$R564))</f>
        <v/>
      </c>
      <c r="Q564" s="193" t="str">
        <f t="shared" si="81"/>
        <v/>
      </c>
      <c r="R564" s="194" t="str">
        <f t="shared" si="82"/>
        <v/>
      </c>
      <c r="S564" s="195" t="str">
        <f t="shared" si="84"/>
        <v/>
      </c>
      <c r="T564" s="196" t="str">
        <f t="shared" si="85"/>
        <v/>
      </c>
      <c r="U564" s="197" t="str">
        <f t="shared" si="86"/>
        <v/>
      </c>
      <c r="V564" s="198" t="str">
        <f t="shared" si="83"/>
        <v/>
      </c>
      <c r="W564" s="339" t="str">
        <f t="shared" si="87"/>
        <v/>
      </c>
      <c r="X564" s="341" t="str">
        <f t="shared" si="88"/>
        <v/>
      </c>
      <c r="Y564" s="277"/>
      <c r="AR564" t="str">
        <f t="shared" si="89"/>
        <v/>
      </c>
      <c r="AS564" t="str">
        <f t="shared" si="90"/>
        <v/>
      </c>
    </row>
    <row r="565" spans="1:45">
      <c r="A565" s="294"/>
      <c r="B565" s="295"/>
      <c r="C565" s="296"/>
      <c r="D565" s="296"/>
      <c r="E565" s="296"/>
      <c r="F565" s="296"/>
      <c r="G565" s="297"/>
      <c r="H565" s="303"/>
      <c r="I565" s="298"/>
      <c r="J565" s="298"/>
      <c r="K565" s="299"/>
      <c r="L565" s="304"/>
      <c r="M565" s="300"/>
      <c r="N565" s="301"/>
      <c r="P565" s="193" t="str">
        <f>IF(R565 = "", "", COUNT(R$4:$R565))</f>
        <v/>
      </c>
      <c r="Q565" s="193" t="str">
        <f t="shared" si="81"/>
        <v/>
      </c>
      <c r="R565" s="194" t="str">
        <f t="shared" si="82"/>
        <v/>
      </c>
      <c r="S565" s="195" t="str">
        <f t="shared" si="84"/>
        <v/>
      </c>
      <c r="T565" s="196" t="str">
        <f t="shared" si="85"/>
        <v/>
      </c>
      <c r="U565" s="197" t="str">
        <f t="shared" si="86"/>
        <v/>
      </c>
      <c r="V565" s="198" t="str">
        <f t="shared" si="83"/>
        <v/>
      </c>
      <c r="W565" s="339" t="str">
        <f t="shared" si="87"/>
        <v/>
      </c>
      <c r="X565" s="341" t="str">
        <f t="shared" si="88"/>
        <v/>
      </c>
      <c r="Y565" s="277"/>
      <c r="AR565" t="str">
        <f t="shared" si="89"/>
        <v/>
      </c>
      <c r="AS565" t="str">
        <f t="shared" si="90"/>
        <v/>
      </c>
    </row>
    <row r="566" spans="1:45">
      <c r="A566" s="294"/>
      <c r="B566" s="295"/>
      <c r="C566" s="296"/>
      <c r="D566" s="296"/>
      <c r="E566" s="296"/>
      <c r="F566" s="296"/>
      <c r="G566" s="297"/>
      <c r="H566" s="303"/>
      <c r="I566" s="298"/>
      <c r="J566" s="298"/>
      <c r="K566" s="299"/>
      <c r="L566" s="304"/>
      <c r="M566" s="300"/>
      <c r="N566" s="301"/>
      <c r="P566" s="193" t="str">
        <f>IF(R566 = "", "", COUNT(R$4:$R566))</f>
        <v/>
      </c>
      <c r="Q566" s="193" t="str">
        <f t="shared" si="81"/>
        <v/>
      </c>
      <c r="R566" s="194" t="str">
        <f t="shared" si="82"/>
        <v/>
      </c>
      <c r="S566" s="195" t="str">
        <f t="shared" si="84"/>
        <v/>
      </c>
      <c r="T566" s="196" t="str">
        <f t="shared" si="85"/>
        <v/>
      </c>
      <c r="U566" s="197" t="str">
        <f t="shared" si="86"/>
        <v/>
      </c>
      <c r="V566" s="198" t="str">
        <f t="shared" si="83"/>
        <v/>
      </c>
      <c r="W566" s="339" t="str">
        <f t="shared" si="87"/>
        <v/>
      </c>
      <c r="X566" s="341" t="str">
        <f t="shared" si="88"/>
        <v/>
      </c>
      <c r="Y566" s="277"/>
      <c r="AR566" t="str">
        <f t="shared" si="89"/>
        <v/>
      </c>
      <c r="AS566" t="str">
        <f t="shared" si="90"/>
        <v/>
      </c>
    </row>
    <row r="567" spans="1:45">
      <c r="A567" s="294"/>
      <c r="B567" s="295"/>
      <c r="C567" s="296"/>
      <c r="D567" s="296"/>
      <c r="E567" s="296"/>
      <c r="F567" s="296"/>
      <c r="G567" s="297"/>
      <c r="H567" s="303"/>
      <c r="I567" s="298"/>
      <c r="J567" s="298"/>
      <c r="K567" s="299"/>
      <c r="L567" s="304"/>
      <c r="M567" s="300"/>
      <c r="N567" s="301"/>
      <c r="P567" s="193" t="str">
        <f>IF(R567 = "", "", COUNT(R$4:$R567))</f>
        <v/>
      </c>
      <c r="Q567" s="193" t="str">
        <f t="shared" si="81"/>
        <v/>
      </c>
      <c r="R567" s="194" t="str">
        <f t="shared" si="82"/>
        <v/>
      </c>
      <c r="S567" s="195" t="str">
        <f t="shared" si="84"/>
        <v/>
      </c>
      <c r="T567" s="196" t="str">
        <f t="shared" si="85"/>
        <v/>
      </c>
      <c r="U567" s="197" t="str">
        <f t="shared" si="86"/>
        <v/>
      </c>
      <c r="V567" s="198" t="str">
        <f t="shared" si="83"/>
        <v/>
      </c>
      <c r="W567" s="339" t="str">
        <f t="shared" si="87"/>
        <v/>
      </c>
      <c r="X567" s="341" t="str">
        <f t="shared" si="88"/>
        <v/>
      </c>
      <c r="Y567" s="277"/>
      <c r="AR567" t="str">
        <f t="shared" si="89"/>
        <v/>
      </c>
      <c r="AS567" t="str">
        <f t="shared" si="90"/>
        <v/>
      </c>
    </row>
    <row r="568" spans="1:45">
      <c r="A568" s="294"/>
      <c r="B568" s="295"/>
      <c r="C568" s="296"/>
      <c r="D568" s="296"/>
      <c r="E568" s="296"/>
      <c r="F568" s="296"/>
      <c r="G568" s="297"/>
      <c r="H568" s="303"/>
      <c r="I568" s="298"/>
      <c r="J568" s="298"/>
      <c r="K568" s="299"/>
      <c r="L568" s="304"/>
      <c r="M568" s="300"/>
      <c r="N568" s="301"/>
      <c r="P568" s="193" t="str">
        <f>IF(R568 = "", "", COUNT(R$4:$R568))</f>
        <v/>
      </c>
      <c r="Q568" s="193" t="str">
        <f t="shared" si="81"/>
        <v/>
      </c>
      <c r="R568" s="194" t="str">
        <f t="shared" si="82"/>
        <v/>
      </c>
      <c r="S568" s="195" t="str">
        <f t="shared" si="84"/>
        <v/>
      </c>
      <c r="T568" s="196" t="str">
        <f t="shared" si="85"/>
        <v/>
      </c>
      <c r="U568" s="197" t="str">
        <f t="shared" si="86"/>
        <v/>
      </c>
      <c r="V568" s="198" t="str">
        <f t="shared" si="83"/>
        <v/>
      </c>
      <c r="W568" s="339" t="str">
        <f t="shared" si="87"/>
        <v/>
      </c>
      <c r="X568" s="341" t="str">
        <f t="shared" si="88"/>
        <v/>
      </c>
      <c r="Y568" s="277"/>
      <c r="AR568" t="str">
        <f t="shared" si="89"/>
        <v/>
      </c>
      <c r="AS568" t="str">
        <f t="shared" si="90"/>
        <v/>
      </c>
    </row>
    <row r="569" spans="1:45">
      <c r="A569" s="294"/>
      <c r="B569" s="295"/>
      <c r="C569" s="296"/>
      <c r="D569" s="296"/>
      <c r="E569" s="296"/>
      <c r="F569" s="296"/>
      <c r="G569" s="297"/>
      <c r="H569" s="303"/>
      <c r="I569" s="298"/>
      <c r="J569" s="298"/>
      <c r="K569" s="299"/>
      <c r="L569" s="304"/>
      <c r="M569" s="300"/>
      <c r="N569" s="301"/>
      <c r="P569" s="193" t="str">
        <f>IF(R569 = "", "", COUNT(R$4:$R569))</f>
        <v/>
      </c>
      <c r="Q569" s="193" t="str">
        <f t="shared" si="81"/>
        <v/>
      </c>
      <c r="R569" s="194" t="str">
        <f t="shared" si="82"/>
        <v/>
      </c>
      <c r="S569" s="195" t="str">
        <f t="shared" si="84"/>
        <v/>
      </c>
      <c r="T569" s="196" t="str">
        <f t="shared" si="85"/>
        <v/>
      </c>
      <c r="U569" s="197" t="str">
        <f t="shared" si="86"/>
        <v/>
      </c>
      <c r="V569" s="198" t="str">
        <f t="shared" si="83"/>
        <v/>
      </c>
      <c r="W569" s="339" t="str">
        <f t="shared" si="87"/>
        <v/>
      </c>
      <c r="X569" s="341" t="str">
        <f t="shared" si="88"/>
        <v/>
      </c>
      <c r="Y569" s="277"/>
      <c r="AR569" t="str">
        <f t="shared" si="89"/>
        <v/>
      </c>
      <c r="AS569" t="str">
        <f t="shared" si="90"/>
        <v/>
      </c>
    </row>
    <row r="570" spans="1:45">
      <c r="A570" s="294"/>
      <c r="B570" s="295"/>
      <c r="C570" s="296"/>
      <c r="D570" s="296"/>
      <c r="E570" s="296"/>
      <c r="F570" s="296"/>
      <c r="G570" s="297"/>
      <c r="H570" s="303"/>
      <c r="I570" s="298"/>
      <c r="J570" s="298"/>
      <c r="K570" s="299"/>
      <c r="L570" s="304"/>
      <c r="M570" s="300"/>
      <c r="N570" s="301"/>
      <c r="P570" s="193" t="str">
        <f>IF(R570 = "", "", COUNT(R$4:$R570))</f>
        <v/>
      </c>
      <c r="Q570" s="193" t="str">
        <f t="shared" si="81"/>
        <v/>
      </c>
      <c r="R570" s="194" t="str">
        <f t="shared" si="82"/>
        <v/>
      </c>
      <c r="S570" s="195" t="str">
        <f t="shared" si="84"/>
        <v/>
      </c>
      <c r="T570" s="196" t="str">
        <f t="shared" si="85"/>
        <v/>
      </c>
      <c r="U570" s="197" t="str">
        <f t="shared" si="86"/>
        <v/>
      </c>
      <c r="V570" s="198" t="str">
        <f t="shared" si="83"/>
        <v/>
      </c>
      <c r="W570" s="339" t="str">
        <f t="shared" si="87"/>
        <v/>
      </c>
      <c r="X570" s="341" t="str">
        <f t="shared" si="88"/>
        <v/>
      </c>
      <c r="Y570" s="277"/>
      <c r="AR570" t="str">
        <f t="shared" si="89"/>
        <v/>
      </c>
      <c r="AS570" t="str">
        <f t="shared" si="90"/>
        <v/>
      </c>
    </row>
    <row r="571" spans="1:45">
      <c r="A571" s="294"/>
      <c r="B571" s="295"/>
      <c r="C571" s="296"/>
      <c r="D571" s="296"/>
      <c r="E571" s="296"/>
      <c r="F571" s="296"/>
      <c r="G571" s="297"/>
      <c r="H571" s="303"/>
      <c r="I571" s="298"/>
      <c r="J571" s="298"/>
      <c r="K571" s="299"/>
      <c r="L571" s="304"/>
      <c r="M571" s="300"/>
      <c r="N571" s="301"/>
      <c r="P571" s="193" t="str">
        <f>IF(R571 = "", "", COUNT(R$4:$R571))</f>
        <v/>
      </c>
      <c r="Q571" s="193" t="str">
        <f t="shared" si="81"/>
        <v/>
      </c>
      <c r="R571" s="194" t="str">
        <f t="shared" si="82"/>
        <v/>
      </c>
      <c r="S571" s="195" t="str">
        <f t="shared" si="84"/>
        <v/>
      </c>
      <c r="T571" s="196" t="str">
        <f t="shared" si="85"/>
        <v/>
      </c>
      <c r="U571" s="197" t="str">
        <f t="shared" si="86"/>
        <v/>
      </c>
      <c r="V571" s="198" t="str">
        <f t="shared" si="83"/>
        <v/>
      </c>
      <c r="W571" s="339" t="str">
        <f t="shared" si="87"/>
        <v/>
      </c>
      <c r="X571" s="341" t="str">
        <f t="shared" si="88"/>
        <v/>
      </c>
      <c r="Y571" s="277"/>
      <c r="AR571" t="str">
        <f t="shared" si="89"/>
        <v/>
      </c>
      <c r="AS571" t="str">
        <f t="shared" si="90"/>
        <v/>
      </c>
    </row>
    <row r="572" spans="1:45">
      <c r="A572" s="294"/>
      <c r="B572" s="295"/>
      <c r="C572" s="296"/>
      <c r="D572" s="296"/>
      <c r="E572" s="296"/>
      <c r="F572" s="296"/>
      <c r="G572" s="297"/>
      <c r="H572" s="303"/>
      <c r="I572" s="298"/>
      <c r="J572" s="298"/>
      <c r="K572" s="299"/>
      <c r="L572" s="304"/>
      <c r="M572" s="300"/>
      <c r="N572" s="301"/>
      <c r="P572" s="193" t="str">
        <f>IF(R572 = "", "", COUNT(R$4:$R572))</f>
        <v/>
      </c>
      <c r="Q572" s="193" t="str">
        <f t="shared" si="81"/>
        <v/>
      </c>
      <c r="R572" s="194" t="str">
        <f t="shared" si="82"/>
        <v/>
      </c>
      <c r="S572" s="195" t="str">
        <f t="shared" si="84"/>
        <v/>
      </c>
      <c r="T572" s="196" t="str">
        <f t="shared" si="85"/>
        <v/>
      </c>
      <c r="U572" s="197" t="str">
        <f t="shared" si="86"/>
        <v/>
      </c>
      <c r="V572" s="198" t="str">
        <f t="shared" si="83"/>
        <v/>
      </c>
      <c r="W572" s="339" t="str">
        <f t="shared" si="87"/>
        <v/>
      </c>
      <c r="X572" s="341" t="str">
        <f t="shared" si="88"/>
        <v/>
      </c>
      <c r="Y572" s="277"/>
      <c r="AR572" t="str">
        <f t="shared" si="89"/>
        <v/>
      </c>
      <c r="AS572" t="str">
        <f t="shared" si="90"/>
        <v/>
      </c>
    </row>
    <row r="573" spans="1:45">
      <c r="A573" s="294"/>
      <c r="B573" s="295"/>
      <c r="C573" s="296"/>
      <c r="D573" s="296"/>
      <c r="E573" s="296"/>
      <c r="F573" s="296"/>
      <c r="G573" s="297"/>
      <c r="H573" s="303"/>
      <c r="I573" s="298"/>
      <c r="J573" s="298"/>
      <c r="K573" s="299"/>
      <c r="L573" s="304"/>
      <c r="M573" s="300"/>
      <c r="N573" s="301"/>
      <c r="P573" s="193" t="str">
        <f>IF(R573 = "", "", COUNT(R$4:$R573))</f>
        <v/>
      </c>
      <c r="Q573" s="193" t="str">
        <f t="shared" si="81"/>
        <v/>
      </c>
      <c r="R573" s="194" t="str">
        <f t="shared" si="82"/>
        <v/>
      </c>
      <c r="S573" s="195" t="str">
        <f t="shared" si="84"/>
        <v/>
      </c>
      <c r="T573" s="196" t="str">
        <f t="shared" si="85"/>
        <v/>
      </c>
      <c r="U573" s="197" t="str">
        <f t="shared" si="86"/>
        <v/>
      </c>
      <c r="V573" s="198" t="str">
        <f t="shared" si="83"/>
        <v/>
      </c>
      <c r="W573" s="339" t="str">
        <f t="shared" si="87"/>
        <v/>
      </c>
      <c r="X573" s="341" t="str">
        <f t="shared" si="88"/>
        <v/>
      </c>
      <c r="Y573" s="277"/>
      <c r="AR573" t="str">
        <f t="shared" si="89"/>
        <v/>
      </c>
      <c r="AS573" t="str">
        <f t="shared" si="90"/>
        <v/>
      </c>
    </row>
    <row r="574" spans="1:45">
      <c r="A574" s="294"/>
      <c r="B574" s="295"/>
      <c r="C574" s="296"/>
      <c r="D574" s="296"/>
      <c r="E574" s="296"/>
      <c r="F574" s="296"/>
      <c r="G574" s="297"/>
      <c r="H574" s="303"/>
      <c r="I574" s="298"/>
      <c r="J574" s="298"/>
      <c r="K574" s="299"/>
      <c r="L574" s="304"/>
      <c r="M574" s="300"/>
      <c r="N574" s="301"/>
      <c r="P574" s="193" t="str">
        <f>IF(R574 = "", "", COUNT(R$4:$R574))</f>
        <v/>
      </c>
      <c r="Q574" s="193" t="str">
        <f t="shared" si="81"/>
        <v/>
      </c>
      <c r="R574" s="194" t="str">
        <f t="shared" si="82"/>
        <v/>
      </c>
      <c r="S574" s="195" t="str">
        <f t="shared" si="84"/>
        <v/>
      </c>
      <c r="T574" s="196" t="str">
        <f t="shared" si="85"/>
        <v/>
      </c>
      <c r="U574" s="197" t="str">
        <f t="shared" si="86"/>
        <v/>
      </c>
      <c r="V574" s="198" t="str">
        <f t="shared" si="83"/>
        <v/>
      </c>
      <c r="W574" s="339" t="str">
        <f t="shared" si="87"/>
        <v/>
      </c>
      <c r="X574" s="341" t="str">
        <f t="shared" si="88"/>
        <v/>
      </c>
      <c r="Y574" s="277"/>
      <c r="AR574" t="str">
        <f t="shared" si="89"/>
        <v/>
      </c>
      <c r="AS574" t="str">
        <f t="shared" si="90"/>
        <v/>
      </c>
    </row>
    <row r="575" spans="1:45">
      <c r="A575" s="294"/>
      <c r="B575" s="295"/>
      <c r="C575" s="296"/>
      <c r="D575" s="296"/>
      <c r="E575" s="296"/>
      <c r="F575" s="296"/>
      <c r="G575" s="297"/>
      <c r="H575" s="303"/>
      <c r="I575" s="298"/>
      <c r="J575" s="298"/>
      <c r="K575" s="299"/>
      <c r="L575" s="304"/>
      <c r="M575" s="300"/>
      <c r="N575" s="301"/>
      <c r="P575" s="193" t="str">
        <f>IF(R575 = "", "", COUNT(R$4:$R575))</f>
        <v/>
      </c>
      <c r="Q575" s="193" t="str">
        <f t="shared" si="81"/>
        <v/>
      </c>
      <c r="R575" s="194" t="str">
        <f t="shared" si="82"/>
        <v/>
      </c>
      <c r="S575" s="195" t="str">
        <f t="shared" si="84"/>
        <v/>
      </c>
      <c r="T575" s="196" t="str">
        <f t="shared" si="85"/>
        <v/>
      </c>
      <c r="U575" s="197" t="str">
        <f t="shared" si="86"/>
        <v/>
      </c>
      <c r="V575" s="198" t="str">
        <f t="shared" si="83"/>
        <v/>
      </c>
      <c r="W575" s="339" t="str">
        <f t="shared" si="87"/>
        <v/>
      </c>
      <c r="X575" s="341" t="str">
        <f t="shared" si="88"/>
        <v/>
      </c>
      <c r="Y575" s="277"/>
      <c r="AR575" t="str">
        <f t="shared" si="89"/>
        <v/>
      </c>
      <c r="AS575" t="str">
        <f t="shared" si="90"/>
        <v/>
      </c>
    </row>
    <row r="576" spans="1:45">
      <c r="A576" s="294"/>
      <c r="B576" s="295"/>
      <c r="C576" s="296"/>
      <c r="D576" s="296"/>
      <c r="E576" s="296"/>
      <c r="F576" s="296"/>
      <c r="G576" s="297"/>
      <c r="H576" s="303"/>
      <c r="I576" s="298"/>
      <c r="J576" s="298"/>
      <c r="K576" s="299"/>
      <c r="L576" s="304"/>
      <c r="M576" s="300"/>
      <c r="N576" s="301"/>
      <c r="P576" s="193" t="str">
        <f>IF(R576 = "", "", COUNT(R$4:$R576))</f>
        <v/>
      </c>
      <c r="Q576" s="193" t="str">
        <f t="shared" si="81"/>
        <v/>
      </c>
      <c r="R576" s="194" t="str">
        <f t="shared" si="82"/>
        <v/>
      </c>
      <c r="S576" s="195" t="str">
        <f t="shared" si="84"/>
        <v/>
      </c>
      <c r="T576" s="196" t="str">
        <f t="shared" si="85"/>
        <v/>
      </c>
      <c r="U576" s="197" t="str">
        <f t="shared" si="86"/>
        <v/>
      </c>
      <c r="V576" s="198" t="str">
        <f t="shared" si="83"/>
        <v/>
      </c>
      <c r="W576" s="339" t="str">
        <f t="shared" si="87"/>
        <v/>
      </c>
      <c r="X576" s="341" t="str">
        <f t="shared" si="88"/>
        <v/>
      </c>
      <c r="Y576" s="277"/>
      <c r="AR576" t="str">
        <f t="shared" si="89"/>
        <v/>
      </c>
      <c r="AS576" t="str">
        <f t="shared" si="90"/>
        <v/>
      </c>
    </row>
    <row r="577" spans="1:45">
      <c r="A577" s="294"/>
      <c r="B577" s="295"/>
      <c r="C577" s="296"/>
      <c r="D577" s="296"/>
      <c r="E577" s="296"/>
      <c r="F577" s="296"/>
      <c r="G577" s="297"/>
      <c r="H577" s="303"/>
      <c r="I577" s="298"/>
      <c r="J577" s="298"/>
      <c r="K577" s="299"/>
      <c r="L577" s="304"/>
      <c r="M577" s="300"/>
      <c r="N577" s="301"/>
      <c r="P577" s="193" t="str">
        <f>IF(R577 = "", "", COUNT(R$4:$R577))</f>
        <v/>
      </c>
      <c r="Q577" s="193" t="str">
        <f t="shared" si="81"/>
        <v/>
      </c>
      <c r="R577" s="194" t="str">
        <f t="shared" si="82"/>
        <v/>
      </c>
      <c r="S577" s="195" t="str">
        <f t="shared" si="84"/>
        <v/>
      </c>
      <c r="T577" s="196" t="str">
        <f t="shared" si="85"/>
        <v/>
      </c>
      <c r="U577" s="197" t="str">
        <f t="shared" si="86"/>
        <v/>
      </c>
      <c r="V577" s="198" t="str">
        <f t="shared" si="83"/>
        <v/>
      </c>
      <c r="W577" s="339" t="str">
        <f t="shared" si="87"/>
        <v/>
      </c>
      <c r="X577" s="341" t="str">
        <f t="shared" si="88"/>
        <v/>
      </c>
      <c r="Y577" s="277"/>
      <c r="AR577" t="str">
        <f t="shared" si="89"/>
        <v/>
      </c>
      <c r="AS577" t="str">
        <f t="shared" si="90"/>
        <v/>
      </c>
    </row>
    <row r="578" spans="1:45">
      <c r="A578" s="294"/>
      <c r="B578" s="295"/>
      <c r="C578" s="296"/>
      <c r="D578" s="296"/>
      <c r="E578" s="296"/>
      <c r="F578" s="296"/>
      <c r="G578" s="297"/>
      <c r="H578" s="303"/>
      <c r="I578" s="298"/>
      <c r="J578" s="298"/>
      <c r="K578" s="299"/>
      <c r="L578" s="304"/>
      <c r="M578" s="300"/>
      <c r="N578" s="301"/>
      <c r="P578" s="193" t="str">
        <f>IF(R578 = "", "", COUNT(R$4:$R578))</f>
        <v/>
      </c>
      <c r="Q578" s="193" t="str">
        <f t="shared" si="81"/>
        <v/>
      </c>
      <c r="R578" s="194" t="str">
        <f t="shared" si="82"/>
        <v/>
      </c>
      <c r="S578" s="195" t="str">
        <f t="shared" si="84"/>
        <v/>
      </c>
      <c r="T578" s="196" t="str">
        <f t="shared" si="85"/>
        <v/>
      </c>
      <c r="U578" s="197" t="str">
        <f t="shared" si="86"/>
        <v/>
      </c>
      <c r="V578" s="198" t="str">
        <f t="shared" si="83"/>
        <v/>
      </c>
      <c r="W578" s="339" t="str">
        <f t="shared" si="87"/>
        <v/>
      </c>
      <c r="X578" s="341" t="str">
        <f t="shared" si="88"/>
        <v/>
      </c>
      <c r="Y578" s="277"/>
      <c r="AR578" t="str">
        <f t="shared" si="89"/>
        <v/>
      </c>
      <c r="AS578" t="str">
        <f t="shared" si="90"/>
        <v/>
      </c>
    </row>
    <row r="579" spans="1:45">
      <c r="A579" s="294"/>
      <c r="B579" s="295"/>
      <c r="C579" s="296"/>
      <c r="D579" s="296"/>
      <c r="E579" s="296"/>
      <c r="F579" s="296"/>
      <c r="G579" s="297"/>
      <c r="H579" s="303"/>
      <c r="I579" s="298"/>
      <c r="J579" s="298"/>
      <c r="K579" s="299"/>
      <c r="L579" s="304"/>
      <c r="M579" s="300"/>
      <c r="N579" s="301"/>
      <c r="P579" s="193" t="str">
        <f>IF(R579 = "", "", COUNT(R$4:$R579))</f>
        <v/>
      </c>
      <c r="Q579" s="193" t="str">
        <f t="shared" si="81"/>
        <v/>
      </c>
      <c r="R579" s="194" t="str">
        <f t="shared" si="82"/>
        <v/>
      </c>
      <c r="S579" s="195" t="str">
        <f t="shared" si="84"/>
        <v/>
      </c>
      <c r="T579" s="196" t="str">
        <f t="shared" si="85"/>
        <v/>
      </c>
      <c r="U579" s="197" t="str">
        <f t="shared" si="86"/>
        <v/>
      </c>
      <c r="V579" s="198" t="str">
        <f t="shared" si="83"/>
        <v/>
      </c>
      <c r="W579" s="339" t="str">
        <f t="shared" si="87"/>
        <v/>
      </c>
      <c r="X579" s="341" t="str">
        <f t="shared" si="88"/>
        <v/>
      </c>
      <c r="Y579" s="277"/>
      <c r="AR579" t="str">
        <f t="shared" si="89"/>
        <v/>
      </c>
      <c r="AS579" t="str">
        <f t="shared" si="90"/>
        <v/>
      </c>
    </row>
    <row r="580" spans="1:45">
      <c r="A580" s="294"/>
      <c r="B580" s="295"/>
      <c r="C580" s="296"/>
      <c r="D580" s="296"/>
      <c r="E580" s="296"/>
      <c r="F580" s="296"/>
      <c r="G580" s="297"/>
      <c r="H580" s="303"/>
      <c r="I580" s="298"/>
      <c r="J580" s="298"/>
      <c r="K580" s="299"/>
      <c r="L580" s="304"/>
      <c r="M580" s="300"/>
      <c r="N580" s="301"/>
      <c r="P580" s="193" t="str">
        <f>IF(R580 = "", "", COUNT(R$4:$R580))</f>
        <v/>
      </c>
      <c r="Q580" s="193" t="str">
        <f t="shared" ref="Q580:Q643" si="91">IF(C580 &gt; 0, YEAR(B580), "")</f>
        <v/>
      </c>
      <c r="R580" s="194" t="str">
        <f t="shared" ref="R580:R643" si="92">IF(A580="", "", IF(G580="",1,IF(G580="O",1,IF(G580="C",8.4,IF(G580="B",8.4,IF(G580="A",76.8,IF(G580="K",76.8,"ERR")))))))</f>
        <v/>
      </c>
      <c r="S580" s="195" t="str">
        <f t="shared" si="84"/>
        <v/>
      </c>
      <c r="T580" s="196" t="str">
        <f t="shared" si="85"/>
        <v/>
      </c>
      <c r="U580" s="197" t="str">
        <f t="shared" si="86"/>
        <v/>
      </c>
      <c r="V580" s="198" t="str">
        <f t="shared" ref="V580:V643" si="93">IF(IF(M580&lt;&gt;"",G580,"")=0, "O", IF(M580&lt;&gt;"",G580,""))</f>
        <v/>
      </c>
      <c r="W580" s="339" t="str">
        <f t="shared" si="87"/>
        <v/>
      </c>
      <c r="X580" s="341" t="str">
        <f t="shared" si="88"/>
        <v/>
      </c>
      <c r="Y580" s="277"/>
      <c r="AR580" t="str">
        <f t="shared" si="89"/>
        <v/>
      </c>
      <c r="AS580" t="str">
        <f t="shared" si="90"/>
        <v/>
      </c>
    </row>
    <row r="581" spans="1:45">
      <c r="A581" s="294"/>
      <c r="B581" s="295"/>
      <c r="C581" s="296"/>
      <c r="D581" s="296"/>
      <c r="E581" s="296"/>
      <c r="F581" s="296"/>
      <c r="G581" s="297"/>
      <c r="H581" s="303"/>
      <c r="I581" s="298"/>
      <c r="J581" s="298"/>
      <c r="K581" s="299"/>
      <c r="L581" s="304"/>
      <c r="M581" s="300"/>
      <c r="N581" s="301"/>
      <c r="P581" s="193" t="str">
        <f>IF(R581 = "", "", COUNT(R$4:$R581))</f>
        <v/>
      </c>
      <c r="Q581" s="193" t="str">
        <f t="shared" si="91"/>
        <v/>
      </c>
      <c r="R581" s="194" t="str">
        <f t="shared" si="92"/>
        <v/>
      </c>
      <c r="S581" s="195" t="str">
        <f t="shared" ref="S581:S644" si="94">IF(L581&lt;&gt;"",R581,"")</f>
        <v/>
      </c>
      <c r="T581" s="196" t="str">
        <f t="shared" ref="T581:T644" si="95">IF(IF(L581&lt;&gt;"",G581,"")=0, "O", IF(L581&lt;&gt;"",G581,""))</f>
        <v/>
      </c>
      <c r="U581" s="197" t="str">
        <f t="shared" ref="U581:U644" si="96">IF(M581&lt;&gt;"",R581,"")</f>
        <v/>
      </c>
      <c r="V581" s="198" t="str">
        <f t="shared" si="93"/>
        <v/>
      </c>
      <c r="W581" s="339" t="str">
        <f t="shared" ref="W581:W644" si="97">IF(N581&lt;&gt;"",R581,"")</f>
        <v/>
      </c>
      <c r="X581" s="341" t="str">
        <f t="shared" ref="X581:X644" si="98">IF(IF(N581&lt;&gt;"",G581,"")=0, "O", IF(N581&lt;&gt;"",G581,""))</f>
        <v/>
      </c>
      <c r="Y581" s="277"/>
      <c r="AR581" t="str">
        <f t="shared" ref="AR581:AR644" si="99">IF(P581&gt;0, P581, "")</f>
        <v/>
      </c>
      <c r="AS581" t="str">
        <f t="shared" ref="AS581:AS644" si="100">IF(OR(L581="Y",M581="Y",N581="Y"),"Y","")</f>
        <v/>
      </c>
    </row>
    <row r="582" spans="1:45">
      <c r="A582" s="294"/>
      <c r="B582" s="295"/>
      <c r="C582" s="296"/>
      <c r="D582" s="296"/>
      <c r="E582" s="296"/>
      <c r="F582" s="296"/>
      <c r="G582" s="297"/>
      <c r="H582" s="303"/>
      <c r="I582" s="298"/>
      <c r="J582" s="298"/>
      <c r="K582" s="299"/>
      <c r="L582" s="304"/>
      <c r="M582" s="300"/>
      <c r="N582" s="301"/>
      <c r="P582" s="193" t="str">
        <f>IF(R582 = "", "", COUNT(R$4:$R582))</f>
        <v/>
      </c>
      <c r="Q582" s="193" t="str">
        <f t="shared" si="91"/>
        <v/>
      </c>
      <c r="R582" s="194" t="str">
        <f t="shared" si="92"/>
        <v/>
      </c>
      <c r="S582" s="195" t="str">
        <f t="shared" si="94"/>
        <v/>
      </c>
      <c r="T582" s="196" t="str">
        <f t="shared" si="95"/>
        <v/>
      </c>
      <c r="U582" s="197" t="str">
        <f t="shared" si="96"/>
        <v/>
      </c>
      <c r="V582" s="198" t="str">
        <f t="shared" si="93"/>
        <v/>
      </c>
      <c r="W582" s="339" t="str">
        <f t="shared" si="97"/>
        <v/>
      </c>
      <c r="X582" s="341" t="str">
        <f t="shared" si="98"/>
        <v/>
      </c>
      <c r="Y582" s="277"/>
      <c r="AR582" t="str">
        <f t="shared" si="99"/>
        <v/>
      </c>
      <c r="AS582" t="str">
        <f t="shared" si="100"/>
        <v/>
      </c>
    </row>
    <row r="583" spans="1:45">
      <c r="A583" s="294"/>
      <c r="B583" s="295"/>
      <c r="C583" s="296"/>
      <c r="D583" s="296"/>
      <c r="E583" s="296"/>
      <c r="F583" s="296"/>
      <c r="G583" s="297"/>
      <c r="H583" s="303"/>
      <c r="I583" s="298"/>
      <c r="J583" s="298"/>
      <c r="K583" s="299"/>
      <c r="L583" s="304"/>
      <c r="M583" s="300"/>
      <c r="N583" s="301"/>
      <c r="P583" s="193" t="str">
        <f>IF(R583 = "", "", COUNT(R$4:$R583))</f>
        <v/>
      </c>
      <c r="Q583" s="193" t="str">
        <f t="shared" si="91"/>
        <v/>
      </c>
      <c r="R583" s="194" t="str">
        <f t="shared" si="92"/>
        <v/>
      </c>
      <c r="S583" s="195" t="str">
        <f t="shared" si="94"/>
        <v/>
      </c>
      <c r="T583" s="196" t="str">
        <f t="shared" si="95"/>
        <v/>
      </c>
      <c r="U583" s="197" t="str">
        <f t="shared" si="96"/>
        <v/>
      </c>
      <c r="V583" s="198" t="str">
        <f t="shared" si="93"/>
        <v/>
      </c>
      <c r="W583" s="339" t="str">
        <f t="shared" si="97"/>
        <v/>
      </c>
      <c r="X583" s="341" t="str">
        <f t="shared" si="98"/>
        <v/>
      </c>
      <c r="Y583" s="277"/>
      <c r="AR583" t="str">
        <f t="shared" si="99"/>
        <v/>
      </c>
      <c r="AS583" t="str">
        <f t="shared" si="100"/>
        <v/>
      </c>
    </row>
    <row r="584" spans="1:45">
      <c r="A584" s="294"/>
      <c r="B584" s="295"/>
      <c r="C584" s="296"/>
      <c r="D584" s="296"/>
      <c r="E584" s="296"/>
      <c r="F584" s="296"/>
      <c r="G584" s="297"/>
      <c r="H584" s="303"/>
      <c r="I584" s="298"/>
      <c r="J584" s="298"/>
      <c r="K584" s="299"/>
      <c r="L584" s="304"/>
      <c r="M584" s="300"/>
      <c r="N584" s="301"/>
      <c r="P584" s="193" t="str">
        <f>IF(R584 = "", "", COUNT(R$4:$R584))</f>
        <v/>
      </c>
      <c r="Q584" s="193" t="str">
        <f t="shared" si="91"/>
        <v/>
      </c>
      <c r="R584" s="194" t="str">
        <f t="shared" si="92"/>
        <v/>
      </c>
      <c r="S584" s="195" t="str">
        <f t="shared" si="94"/>
        <v/>
      </c>
      <c r="T584" s="196" t="str">
        <f t="shared" si="95"/>
        <v/>
      </c>
      <c r="U584" s="197" t="str">
        <f t="shared" si="96"/>
        <v/>
      </c>
      <c r="V584" s="198" t="str">
        <f t="shared" si="93"/>
        <v/>
      </c>
      <c r="W584" s="339" t="str">
        <f t="shared" si="97"/>
        <v/>
      </c>
      <c r="X584" s="341" t="str">
        <f t="shared" si="98"/>
        <v/>
      </c>
      <c r="Y584" s="277"/>
      <c r="AR584" t="str">
        <f t="shared" si="99"/>
        <v/>
      </c>
      <c r="AS584" t="str">
        <f t="shared" si="100"/>
        <v/>
      </c>
    </row>
    <row r="585" spans="1:45">
      <c r="A585" s="294"/>
      <c r="B585" s="295"/>
      <c r="C585" s="296"/>
      <c r="D585" s="296"/>
      <c r="E585" s="296"/>
      <c r="F585" s="296"/>
      <c r="G585" s="297"/>
      <c r="H585" s="303"/>
      <c r="I585" s="298"/>
      <c r="J585" s="298"/>
      <c r="K585" s="299"/>
      <c r="L585" s="304"/>
      <c r="M585" s="300"/>
      <c r="N585" s="301"/>
      <c r="P585" s="193" t="str">
        <f>IF(R585 = "", "", COUNT(R$4:$R585))</f>
        <v/>
      </c>
      <c r="Q585" s="193" t="str">
        <f t="shared" si="91"/>
        <v/>
      </c>
      <c r="R585" s="194" t="str">
        <f t="shared" si="92"/>
        <v/>
      </c>
      <c r="S585" s="195" t="str">
        <f t="shared" si="94"/>
        <v/>
      </c>
      <c r="T585" s="196" t="str">
        <f t="shared" si="95"/>
        <v/>
      </c>
      <c r="U585" s="197" t="str">
        <f t="shared" si="96"/>
        <v/>
      </c>
      <c r="V585" s="198" t="str">
        <f t="shared" si="93"/>
        <v/>
      </c>
      <c r="W585" s="339" t="str">
        <f t="shared" si="97"/>
        <v/>
      </c>
      <c r="X585" s="341" t="str">
        <f t="shared" si="98"/>
        <v/>
      </c>
      <c r="Y585" s="277"/>
      <c r="AR585" t="str">
        <f t="shared" si="99"/>
        <v/>
      </c>
      <c r="AS585" t="str">
        <f t="shared" si="100"/>
        <v/>
      </c>
    </row>
    <row r="586" spans="1:45">
      <c r="A586" s="294"/>
      <c r="B586" s="295"/>
      <c r="C586" s="296"/>
      <c r="D586" s="296"/>
      <c r="E586" s="296"/>
      <c r="F586" s="296"/>
      <c r="G586" s="297"/>
      <c r="H586" s="303"/>
      <c r="I586" s="298"/>
      <c r="J586" s="298"/>
      <c r="K586" s="299"/>
      <c r="L586" s="304"/>
      <c r="M586" s="300"/>
      <c r="N586" s="301"/>
      <c r="P586" s="193" t="str">
        <f>IF(R586 = "", "", COUNT(R$4:$R586))</f>
        <v/>
      </c>
      <c r="Q586" s="193" t="str">
        <f t="shared" si="91"/>
        <v/>
      </c>
      <c r="R586" s="194" t="str">
        <f t="shared" si="92"/>
        <v/>
      </c>
      <c r="S586" s="195" t="str">
        <f t="shared" si="94"/>
        <v/>
      </c>
      <c r="T586" s="196" t="str">
        <f t="shared" si="95"/>
        <v/>
      </c>
      <c r="U586" s="197" t="str">
        <f t="shared" si="96"/>
        <v/>
      </c>
      <c r="V586" s="198" t="str">
        <f t="shared" si="93"/>
        <v/>
      </c>
      <c r="W586" s="339" t="str">
        <f t="shared" si="97"/>
        <v/>
      </c>
      <c r="X586" s="341" t="str">
        <f t="shared" si="98"/>
        <v/>
      </c>
      <c r="Y586" s="277"/>
      <c r="AR586" t="str">
        <f t="shared" si="99"/>
        <v/>
      </c>
      <c r="AS586" t="str">
        <f t="shared" si="100"/>
        <v/>
      </c>
    </row>
    <row r="587" spans="1:45">
      <c r="A587" s="294"/>
      <c r="B587" s="295"/>
      <c r="C587" s="296"/>
      <c r="D587" s="296"/>
      <c r="E587" s="296"/>
      <c r="F587" s="296"/>
      <c r="G587" s="297"/>
      <c r="H587" s="303"/>
      <c r="I587" s="298"/>
      <c r="J587" s="298"/>
      <c r="K587" s="299"/>
      <c r="L587" s="304"/>
      <c r="M587" s="300"/>
      <c r="N587" s="301"/>
      <c r="P587" s="193" t="str">
        <f>IF(R587 = "", "", COUNT(R$4:$R587))</f>
        <v/>
      </c>
      <c r="Q587" s="193" t="str">
        <f t="shared" si="91"/>
        <v/>
      </c>
      <c r="R587" s="194" t="str">
        <f t="shared" si="92"/>
        <v/>
      </c>
      <c r="S587" s="195" t="str">
        <f t="shared" si="94"/>
        <v/>
      </c>
      <c r="T587" s="196" t="str">
        <f t="shared" si="95"/>
        <v/>
      </c>
      <c r="U587" s="197" t="str">
        <f t="shared" si="96"/>
        <v/>
      </c>
      <c r="V587" s="198" t="str">
        <f t="shared" si="93"/>
        <v/>
      </c>
      <c r="W587" s="339" t="str">
        <f t="shared" si="97"/>
        <v/>
      </c>
      <c r="X587" s="341" t="str">
        <f t="shared" si="98"/>
        <v/>
      </c>
      <c r="Y587" s="277"/>
      <c r="AR587" t="str">
        <f t="shared" si="99"/>
        <v/>
      </c>
      <c r="AS587" t="str">
        <f t="shared" si="100"/>
        <v/>
      </c>
    </row>
    <row r="588" spans="1:45">
      <c r="A588" s="294"/>
      <c r="B588" s="295"/>
      <c r="C588" s="296"/>
      <c r="D588" s="296"/>
      <c r="E588" s="296"/>
      <c r="F588" s="296"/>
      <c r="G588" s="297"/>
      <c r="H588" s="303"/>
      <c r="I588" s="298"/>
      <c r="J588" s="298"/>
      <c r="K588" s="299"/>
      <c r="L588" s="304"/>
      <c r="M588" s="300"/>
      <c r="N588" s="301"/>
      <c r="P588" s="193" t="str">
        <f>IF(R588 = "", "", COUNT(R$4:$R588))</f>
        <v/>
      </c>
      <c r="Q588" s="193" t="str">
        <f t="shared" si="91"/>
        <v/>
      </c>
      <c r="R588" s="194" t="str">
        <f t="shared" si="92"/>
        <v/>
      </c>
      <c r="S588" s="195" t="str">
        <f t="shared" si="94"/>
        <v/>
      </c>
      <c r="T588" s="196" t="str">
        <f t="shared" si="95"/>
        <v/>
      </c>
      <c r="U588" s="197" t="str">
        <f t="shared" si="96"/>
        <v/>
      </c>
      <c r="V588" s="198" t="str">
        <f t="shared" si="93"/>
        <v/>
      </c>
      <c r="W588" s="339" t="str">
        <f t="shared" si="97"/>
        <v/>
      </c>
      <c r="X588" s="341" t="str">
        <f t="shared" si="98"/>
        <v/>
      </c>
      <c r="Y588" s="277"/>
      <c r="AR588" t="str">
        <f t="shared" si="99"/>
        <v/>
      </c>
      <c r="AS588" t="str">
        <f t="shared" si="100"/>
        <v/>
      </c>
    </row>
    <row r="589" spans="1:45">
      <c r="A589" s="294"/>
      <c r="B589" s="295"/>
      <c r="C589" s="296"/>
      <c r="D589" s="296"/>
      <c r="E589" s="296"/>
      <c r="F589" s="296"/>
      <c r="G589" s="297"/>
      <c r="H589" s="303"/>
      <c r="I589" s="298"/>
      <c r="J589" s="298"/>
      <c r="K589" s="299"/>
      <c r="L589" s="304"/>
      <c r="M589" s="300"/>
      <c r="N589" s="301"/>
      <c r="P589" s="193" t="str">
        <f>IF(R589 = "", "", COUNT(R$4:$R589))</f>
        <v/>
      </c>
      <c r="Q589" s="193" t="str">
        <f t="shared" si="91"/>
        <v/>
      </c>
      <c r="R589" s="194" t="str">
        <f t="shared" si="92"/>
        <v/>
      </c>
      <c r="S589" s="195" t="str">
        <f t="shared" si="94"/>
        <v/>
      </c>
      <c r="T589" s="196" t="str">
        <f t="shared" si="95"/>
        <v/>
      </c>
      <c r="U589" s="197" t="str">
        <f t="shared" si="96"/>
        <v/>
      </c>
      <c r="V589" s="198" t="str">
        <f t="shared" si="93"/>
        <v/>
      </c>
      <c r="W589" s="339" t="str">
        <f t="shared" si="97"/>
        <v/>
      </c>
      <c r="X589" s="341" t="str">
        <f t="shared" si="98"/>
        <v/>
      </c>
      <c r="Y589" s="277"/>
      <c r="AR589" t="str">
        <f t="shared" si="99"/>
        <v/>
      </c>
      <c r="AS589" t="str">
        <f t="shared" si="100"/>
        <v/>
      </c>
    </row>
    <row r="590" spans="1:45">
      <c r="A590" s="294"/>
      <c r="B590" s="295"/>
      <c r="C590" s="296"/>
      <c r="D590" s="296"/>
      <c r="E590" s="296"/>
      <c r="F590" s="296"/>
      <c r="G590" s="297"/>
      <c r="H590" s="303"/>
      <c r="I590" s="298"/>
      <c r="J590" s="298"/>
      <c r="K590" s="299"/>
      <c r="L590" s="304"/>
      <c r="M590" s="300"/>
      <c r="N590" s="301"/>
      <c r="P590" s="193" t="str">
        <f>IF(R590 = "", "", COUNT(R$4:$R590))</f>
        <v/>
      </c>
      <c r="Q590" s="193" t="str">
        <f t="shared" si="91"/>
        <v/>
      </c>
      <c r="R590" s="194" t="str">
        <f t="shared" si="92"/>
        <v/>
      </c>
      <c r="S590" s="195" t="str">
        <f t="shared" si="94"/>
        <v/>
      </c>
      <c r="T590" s="196" t="str">
        <f t="shared" si="95"/>
        <v/>
      </c>
      <c r="U590" s="197" t="str">
        <f t="shared" si="96"/>
        <v/>
      </c>
      <c r="V590" s="198" t="str">
        <f t="shared" si="93"/>
        <v/>
      </c>
      <c r="W590" s="339" t="str">
        <f t="shared" si="97"/>
        <v/>
      </c>
      <c r="X590" s="341" t="str">
        <f t="shared" si="98"/>
        <v/>
      </c>
      <c r="Y590" s="277"/>
      <c r="AR590" t="str">
        <f t="shared" si="99"/>
        <v/>
      </c>
      <c r="AS590" t="str">
        <f t="shared" si="100"/>
        <v/>
      </c>
    </row>
    <row r="591" spans="1:45">
      <c r="A591" s="294"/>
      <c r="B591" s="295"/>
      <c r="C591" s="296"/>
      <c r="D591" s="296"/>
      <c r="E591" s="296"/>
      <c r="F591" s="296"/>
      <c r="G591" s="297"/>
      <c r="H591" s="303"/>
      <c r="I591" s="298"/>
      <c r="J591" s="298"/>
      <c r="K591" s="299"/>
      <c r="L591" s="304"/>
      <c r="M591" s="300"/>
      <c r="N591" s="301"/>
      <c r="P591" s="193" t="str">
        <f>IF(R591 = "", "", COUNT(R$4:$R591))</f>
        <v/>
      </c>
      <c r="Q591" s="193" t="str">
        <f t="shared" si="91"/>
        <v/>
      </c>
      <c r="R591" s="194" t="str">
        <f t="shared" si="92"/>
        <v/>
      </c>
      <c r="S591" s="195" t="str">
        <f t="shared" si="94"/>
        <v/>
      </c>
      <c r="T591" s="196" t="str">
        <f t="shared" si="95"/>
        <v/>
      </c>
      <c r="U591" s="197" t="str">
        <f t="shared" si="96"/>
        <v/>
      </c>
      <c r="V591" s="198" t="str">
        <f t="shared" si="93"/>
        <v/>
      </c>
      <c r="W591" s="339" t="str">
        <f t="shared" si="97"/>
        <v/>
      </c>
      <c r="X591" s="341" t="str">
        <f t="shared" si="98"/>
        <v/>
      </c>
      <c r="Y591" s="277"/>
      <c r="AR591" t="str">
        <f t="shared" si="99"/>
        <v/>
      </c>
      <c r="AS591" t="str">
        <f t="shared" si="100"/>
        <v/>
      </c>
    </row>
    <row r="592" spans="1:45">
      <c r="A592" s="294"/>
      <c r="B592" s="295"/>
      <c r="C592" s="296"/>
      <c r="D592" s="296"/>
      <c r="E592" s="296"/>
      <c r="F592" s="296"/>
      <c r="G592" s="297"/>
      <c r="H592" s="303"/>
      <c r="I592" s="298"/>
      <c r="J592" s="298"/>
      <c r="K592" s="299"/>
      <c r="L592" s="304"/>
      <c r="M592" s="300"/>
      <c r="N592" s="301"/>
      <c r="P592" s="193" t="str">
        <f>IF(R592 = "", "", COUNT(R$4:$R592))</f>
        <v/>
      </c>
      <c r="Q592" s="193" t="str">
        <f t="shared" si="91"/>
        <v/>
      </c>
      <c r="R592" s="194" t="str">
        <f t="shared" si="92"/>
        <v/>
      </c>
      <c r="S592" s="195" t="str">
        <f t="shared" si="94"/>
        <v/>
      </c>
      <c r="T592" s="196" t="str">
        <f t="shared" si="95"/>
        <v/>
      </c>
      <c r="U592" s="197" t="str">
        <f t="shared" si="96"/>
        <v/>
      </c>
      <c r="V592" s="198" t="str">
        <f t="shared" si="93"/>
        <v/>
      </c>
      <c r="W592" s="339" t="str">
        <f t="shared" si="97"/>
        <v/>
      </c>
      <c r="X592" s="341" t="str">
        <f t="shared" si="98"/>
        <v/>
      </c>
      <c r="Y592" s="277"/>
      <c r="AR592" t="str">
        <f t="shared" si="99"/>
        <v/>
      </c>
      <c r="AS592" t="str">
        <f t="shared" si="100"/>
        <v/>
      </c>
    </row>
    <row r="593" spans="1:45">
      <c r="A593" s="294"/>
      <c r="B593" s="295"/>
      <c r="C593" s="296"/>
      <c r="D593" s="296"/>
      <c r="E593" s="296"/>
      <c r="F593" s="296"/>
      <c r="G593" s="297"/>
      <c r="H593" s="303"/>
      <c r="I593" s="298"/>
      <c r="J593" s="298"/>
      <c r="K593" s="299"/>
      <c r="L593" s="304"/>
      <c r="M593" s="300"/>
      <c r="N593" s="301"/>
      <c r="P593" s="193" t="str">
        <f>IF(R593 = "", "", COUNT(R$4:$R593))</f>
        <v/>
      </c>
      <c r="Q593" s="193" t="str">
        <f t="shared" si="91"/>
        <v/>
      </c>
      <c r="R593" s="194" t="str">
        <f t="shared" si="92"/>
        <v/>
      </c>
      <c r="S593" s="195" t="str">
        <f t="shared" si="94"/>
        <v/>
      </c>
      <c r="T593" s="196" t="str">
        <f t="shared" si="95"/>
        <v/>
      </c>
      <c r="U593" s="197" t="str">
        <f t="shared" si="96"/>
        <v/>
      </c>
      <c r="V593" s="198" t="str">
        <f t="shared" si="93"/>
        <v/>
      </c>
      <c r="W593" s="339" t="str">
        <f t="shared" si="97"/>
        <v/>
      </c>
      <c r="X593" s="341" t="str">
        <f t="shared" si="98"/>
        <v/>
      </c>
      <c r="Y593" s="277"/>
      <c r="AR593" t="str">
        <f t="shared" si="99"/>
        <v/>
      </c>
      <c r="AS593" t="str">
        <f t="shared" si="100"/>
        <v/>
      </c>
    </row>
    <row r="594" spans="1:45">
      <c r="A594" s="294"/>
      <c r="B594" s="295"/>
      <c r="C594" s="296"/>
      <c r="D594" s="296"/>
      <c r="E594" s="296"/>
      <c r="F594" s="296"/>
      <c r="G594" s="297"/>
      <c r="H594" s="303"/>
      <c r="I594" s="298"/>
      <c r="J594" s="298"/>
      <c r="K594" s="299"/>
      <c r="L594" s="304"/>
      <c r="M594" s="300"/>
      <c r="N594" s="301"/>
      <c r="P594" s="193" t="str">
        <f>IF(R594 = "", "", COUNT(R$4:$R594))</f>
        <v/>
      </c>
      <c r="Q594" s="193" t="str">
        <f t="shared" si="91"/>
        <v/>
      </c>
      <c r="R594" s="194" t="str">
        <f t="shared" si="92"/>
        <v/>
      </c>
      <c r="S594" s="195" t="str">
        <f t="shared" si="94"/>
        <v/>
      </c>
      <c r="T594" s="196" t="str">
        <f t="shared" si="95"/>
        <v/>
      </c>
      <c r="U594" s="197" t="str">
        <f t="shared" si="96"/>
        <v/>
      </c>
      <c r="V594" s="198" t="str">
        <f t="shared" si="93"/>
        <v/>
      </c>
      <c r="W594" s="339" t="str">
        <f t="shared" si="97"/>
        <v/>
      </c>
      <c r="X594" s="341" t="str">
        <f t="shared" si="98"/>
        <v/>
      </c>
      <c r="Y594" s="277"/>
      <c r="AR594" t="str">
        <f t="shared" si="99"/>
        <v/>
      </c>
      <c r="AS594" t="str">
        <f t="shared" si="100"/>
        <v/>
      </c>
    </row>
    <row r="595" spans="1:45">
      <c r="A595" s="294"/>
      <c r="B595" s="295"/>
      <c r="C595" s="296"/>
      <c r="D595" s="296"/>
      <c r="E595" s="296"/>
      <c r="F595" s="296"/>
      <c r="G595" s="297"/>
      <c r="H595" s="303"/>
      <c r="I595" s="298"/>
      <c r="J595" s="298"/>
      <c r="K595" s="299"/>
      <c r="L595" s="304"/>
      <c r="M595" s="300"/>
      <c r="N595" s="301"/>
      <c r="P595" s="193" t="str">
        <f>IF(R595 = "", "", COUNT(R$4:$R595))</f>
        <v/>
      </c>
      <c r="Q595" s="193" t="str">
        <f t="shared" si="91"/>
        <v/>
      </c>
      <c r="R595" s="194" t="str">
        <f t="shared" si="92"/>
        <v/>
      </c>
      <c r="S595" s="195" t="str">
        <f t="shared" si="94"/>
        <v/>
      </c>
      <c r="T595" s="196" t="str">
        <f t="shared" si="95"/>
        <v/>
      </c>
      <c r="U595" s="197" t="str">
        <f t="shared" si="96"/>
        <v/>
      </c>
      <c r="V595" s="198" t="str">
        <f t="shared" si="93"/>
        <v/>
      </c>
      <c r="W595" s="339" t="str">
        <f t="shared" si="97"/>
        <v/>
      </c>
      <c r="X595" s="341" t="str">
        <f t="shared" si="98"/>
        <v/>
      </c>
      <c r="Y595" s="277"/>
      <c r="AR595" t="str">
        <f t="shared" si="99"/>
        <v/>
      </c>
      <c r="AS595" t="str">
        <f t="shared" si="100"/>
        <v/>
      </c>
    </row>
    <row r="596" spans="1:45">
      <c r="A596" s="294"/>
      <c r="B596" s="295"/>
      <c r="C596" s="296"/>
      <c r="D596" s="296"/>
      <c r="E596" s="296"/>
      <c r="F596" s="296"/>
      <c r="G596" s="297"/>
      <c r="H596" s="303"/>
      <c r="I596" s="298"/>
      <c r="J596" s="298"/>
      <c r="K596" s="299"/>
      <c r="L596" s="304"/>
      <c r="M596" s="300"/>
      <c r="N596" s="301"/>
      <c r="P596" s="193" t="str">
        <f>IF(R596 = "", "", COUNT(R$4:$R596))</f>
        <v/>
      </c>
      <c r="Q596" s="193" t="str">
        <f t="shared" si="91"/>
        <v/>
      </c>
      <c r="R596" s="194" t="str">
        <f t="shared" si="92"/>
        <v/>
      </c>
      <c r="S596" s="195" t="str">
        <f t="shared" si="94"/>
        <v/>
      </c>
      <c r="T596" s="196" t="str">
        <f t="shared" si="95"/>
        <v/>
      </c>
      <c r="U596" s="197" t="str">
        <f t="shared" si="96"/>
        <v/>
      </c>
      <c r="V596" s="198" t="str">
        <f t="shared" si="93"/>
        <v/>
      </c>
      <c r="W596" s="339" t="str">
        <f t="shared" si="97"/>
        <v/>
      </c>
      <c r="X596" s="341" t="str">
        <f t="shared" si="98"/>
        <v/>
      </c>
      <c r="Y596" s="277"/>
      <c r="AR596" t="str">
        <f t="shared" si="99"/>
        <v/>
      </c>
      <c r="AS596" t="str">
        <f t="shared" si="100"/>
        <v/>
      </c>
    </row>
    <row r="597" spans="1:45">
      <c r="A597" s="294"/>
      <c r="B597" s="295"/>
      <c r="C597" s="296"/>
      <c r="D597" s="296"/>
      <c r="E597" s="296"/>
      <c r="F597" s="296"/>
      <c r="G597" s="297"/>
      <c r="H597" s="303"/>
      <c r="I597" s="298"/>
      <c r="J597" s="298"/>
      <c r="K597" s="299"/>
      <c r="L597" s="304"/>
      <c r="M597" s="300"/>
      <c r="N597" s="301"/>
      <c r="P597" s="193" t="str">
        <f>IF(R597 = "", "", COUNT(R$4:$R597))</f>
        <v/>
      </c>
      <c r="Q597" s="193" t="str">
        <f t="shared" si="91"/>
        <v/>
      </c>
      <c r="R597" s="194" t="str">
        <f t="shared" si="92"/>
        <v/>
      </c>
      <c r="S597" s="195" t="str">
        <f t="shared" si="94"/>
        <v/>
      </c>
      <c r="T597" s="196" t="str">
        <f t="shared" si="95"/>
        <v/>
      </c>
      <c r="U597" s="197" t="str">
        <f t="shared" si="96"/>
        <v/>
      </c>
      <c r="V597" s="198" t="str">
        <f t="shared" si="93"/>
        <v/>
      </c>
      <c r="W597" s="339" t="str">
        <f t="shared" si="97"/>
        <v/>
      </c>
      <c r="X597" s="341" t="str">
        <f t="shared" si="98"/>
        <v/>
      </c>
      <c r="Y597" s="277"/>
      <c r="AR597" t="str">
        <f t="shared" si="99"/>
        <v/>
      </c>
      <c r="AS597" t="str">
        <f t="shared" si="100"/>
        <v/>
      </c>
    </row>
    <row r="598" spans="1:45">
      <c r="A598" s="294"/>
      <c r="B598" s="295"/>
      <c r="C598" s="296"/>
      <c r="D598" s="296"/>
      <c r="E598" s="296"/>
      <c r="F598" s="296"/>
      <c r="G598" s="297"/>
      <c r="H598" s="303"/>
      <c r="I598" s="298"/>
      <c r="J598" s="298"/>
      <c r="K598" s="299"/>
      <c r="L598" s="304"/>
      <c r="M598" s="300"/>
      <c r="N598" s="301"/>
      <c r="P598" s="193" t="str">
        <f>IF(R598 = "", "", COUNT(R$4:$R598))</f>
        <v/>
      </c>
      <c r="Q598" s="193" t="str">
        <f t="shared" si="91"/>
        <v/>
      </c>
      <c r="R598" s="194" t="str">
        <f t="shared" si="92"/>
        <v/>
      </c>
      <c r="S598" s="195" t="str">
        <f t="shared" si="94"/>
        <v/>
      </c>
      <c r="T598" s="196" t="str">
        <f t="shared" si="95"/>
        <v/>
      </c>
      <c r="U598" s="197" t="str">
        <f t="shared" si="96"/>
        <v/>
      </c>
      <c r="V598" s="198" t="str">
        <f t="shared" si="93"/>
        <v/>
      </c>
      <c r="W598" s="339" t="str">
        <f t="shared" si="97"/>
        <v/>
      </c>
      <c r="X598" s="341" t="str">
        <f t="shared" si="98"/>
        <v/>
      </c>
      <c r="Y598" s="277"/>
      <c r="AR598" t="str">
        <f t="shared" si="99"/>
        <v/>
      </c>
      <c r="AS598" t="str">
        <f t="shared" si="100"/>
        <v/>
      </c>
    </row>
    <row r="599" spans="1:45">
      <c r="A599" s="294"/>
      <c r="B599" s="295"/>
      <c r="C599" s="296"/>
      <c r="D599" s="296"/>
      <c r="E599" s="296"/>
      <c r="F599" s="296"/>
      <c r="G599" s="297"/>
      <c r="H599" s="303"/>
      <c r="I599" s="298"/>
      <c r="J599" s="298"/>
      <c r="K599" s="299"/>
      <c r="L599" s="304"/>
      <c r="M599" s="300"/>
      <c r="N599" s="301"/>
      <c r="P599" s="193" t="str">
        <f>IF(R599 = "", "", COUNT(R$4:$R599))</f>
        <v/>
      </c>
      <c r="Q599" s="193" t="str">
        <f t="shared" si="91"/>
        <v/>
      </c>
      <c r="R599" s="194" t="str">
        <f t="shared" si="92"/>
        <v/>
      </c>
      <c r="S599" s="195" t="str">
        <f t="shared" si="94"/>
        <v/>
      </c>
      <c r="T599" s="196" t="str">
        <f t="shared" si="95"/>
        <v/>
      </c>
      <c r="U599" s="197" t="str">
        <f t="shared" si="96"/>
        <v/>
      </c>
      <c r="V599" s="198" t="str">
        <f t="shared" si="93"/>
        <v/>
      </c>
      <c r="W599" s="339" t="str">
        <f t="shared" si="97"/>
        <v/>
      </c>
      <c r="X599" s="341" t="str">
        <f t="shared" si="98"/>
        <v/>
      </c>
      <c r="Y599" s="277"/>
      <c r="AR599" t="str">
        <f t="shared" si="99"/>
        <v/>
      </c>
      <c r="AS599" t="str">
        <f t="shared" si="100"/>
        <v/>
      </c>
    </row>
    <row r="600" spans="1:45">
      <c r="A600" s="294"/>
      <c r="B600" s="295"/>
      <c r="C600" s="296"/>
      <c r="D600" s="296"/>
      <c r="E600" s="296"/>
      <c r="F600" s="296"/>
      <c r="G600" s="297"/>
      <c r="H600" s="303"/>
      <c r="I600" s="298"/>
      <c r="J600" s="298"/>
      <c r="K600" s="299"/>
      <c r="L600" s="304"/>
      <c r="M600" s="300"/>
      <c r="N600" s="301"/>
      <c r="P600" s="193" t="str">
        <f>IF(R600 = "", "", COUNT(R$4:$R600))</f>
        <v/>
      </c>
      <c r="Q600" s="193" t="str">
        <f t="shared" si="91"/>
        <v/>
      </c>
      <c r="R600" s="194" t="str">
        <f t="shared" si="92"/>
        <v/>
      </c>
      <c r="S600" s="195" t="str">
        <f t="shared" si="94"/>
        <v/>
      </c>
      <c r="T600" s="196" t="str">
        <f t="shared" si="95"/>
        <v/>
      </c>
      <c r="U600" s="197" t="str">
        <f t="shared" si="96"/>
        <v/>
      </c>
      <c r="V600" s="198" t="str">
        <f t="shared" si="93"/>
        <v/>
      </c>
      <c r="W600" s="339" t="str">
        <f t="shared" si="97"/>
        <v/>
      </c>
      <c r="X600" s="341" t="str">
        <f t="shared" si="98"/>
        <v/>
      </c>
      <c r="Y600" s="277"/>
      <c r="AR600" t="str">
        <f t="shared" si="99"/>
        <v/>
      </c>
      <c r="AS600" t="str">
        <f t="shared" si="100"/>
        <v/>
      </c>
    </row>
    <row r="601" spans="1:45">
      <c r="A601" s="294"/>
      <c r="B601" s="295"/>
      <c r="C601" s="296"/>
      <c r="D601" s="296"/>
      <c r="E601" s="296"/>
      <c r="F601" s="296"/>
      <c r="G601" s="297"/>
      <c r="H601" s="303"/>
      <c r="I601" s="298"/>
      <c r="J601" s="298"/>
      <c r="K601" s="299"/>
      <c r="L601" s="304"/>
      <c r="M601" s="300"/>
      <c r="N601" s="301"/>
      <c r="P601" s="193" t="str">
        <f>IF(R601 = "", "", COUNT(R$4:$R601))</f>
        <v/>
      </c>
      <c r="Q601" s="193" t="str">
        <f t="shared" si="91"/>
        <v/>
      </c>
      <c r="R601" s="194" t="str">
        <f t="shared" si="92"/>
        <v/>
      </c>
      <c r="S601" s="195" t="str">
        <f t="shared" si="94"/>
        <v/>
      </c>
      <c r="T601" s="196" t="str">
        <f t="shared" si="95"/>
        <v/>
      </c>
      <c r="U601" s="197" t="str">
        <f t="shared" si="96"/>
        <v/>
      </c>
      <c r="V601" s="198" t="str">
        <f t="shared" si="93"/>
        <v/>
      </c>
      <c r="W601" s="339" t="str">
        <f t="shared" si="97"/>
        <v/>
      </c>
      <c r="X601" s="341" t="str">
        <f t="shared" si="98"/>
        <v/>
      </c>
      <c r="Y601" s="277"/>
      <c r="AR601" t="str">
        <f t="shared" si="99"/>
        <v/>
      </c>
      <c r="AS601" t="str">
        <f t="shared" si="100"/>
        <v/>
      </c>
    </row>
    <row r="602" spans="1:45">
      <c r="A602" s="294"/>
      <c r="B602" s="295"/>
      <c r="C602" s="296"/>
      <c r="D602" s="296"/>
      <c r="E602" s="296"/>
      <c r="F602" s="296"/>
      <c r="G602" s="297"/>
      <c r="H602" s="303"/>
      <c r="I602" s="298"/>
      <c r="J602" s="298"/>
      <c r="K602" s="299"/>
      <c r="L602" s="304"/>
      <c r="M602" s="300"/>
      <c r="N602" s="301"/>
      <c r="P602" s="193" t="str">
        <f>IF(R602 = "", "", COUNT(R$4:$R602))</f>
        <v/>
      </c>
      <c r="Q602" s="193" t="str">
        <f t="shared" si="91"/>
        <v/>
      </c>
      <c r="R602" s="194" t="str">
        <f t="shared" si="92"/>
        <v/>
      </c>
      <c r="S602" s="195" t="str">
        <f t="shared" si="94"/>
        <v/>
      </c>
      <c r="T602" s="196" t="str">
        <f t="shared" si="95"/>
        <v/>
      </c>
      <c r="U602" s="197" t="str">
        <f t="shared" si="96"/>
        <v/>
      </c>
      <c r="V602" s="198" t="str">
        <f t="shared" si="93"/>
        <v/>
      </c>
      <c r="W602" s="339" t="str">
        <f t="shared" si="97"/>
        <v/>
      </c>
      <c r="X602" s="341" t="str">
        <f t="shared" si="98"/>
        <v/>
      </c>
      <c r="Y602" s="277"/>
      <c r="AR602" t="str">
        <f t="shared" si="99"/>
        <v/>
      </c>
      <c r="AS602" t="str">
        <f t="shared" si="100"/>
        <v/>
      </c>
    </row>
    <row r="603" spans="1:45">
      <c r="A603" s="294"/>
      <c r="B603" s="295"/>
      <c r="C603" s="296"/>
      <c r="D603" s="296"/>
      <c r="E603" s="296"/>
      <c r="F603" s="296"/>
      <c r="G603" s="297"/>
      <c r="H603" s="303"/>
      <c r="I603" s="298"/>
      <c r="J603" s="298"/>
      <c r="K603" s="299"/>
      <c r="L603" s="304"/>
      <c r="M603" s="300"/>
      <c r="N603" s="301"/>
      <c r="P603" s="193" t="str">
        <f>IF(R603 = "", "", COUNT(R$4:$R603))</f>
        <v/>
      </c>
      <c r="Q603" s="193" t="str">
        <f t="shared" si="91"/>
        <v/>
      </c>
      <c r="R603" s="194" t="str">
        <f t="shared" si="92"/>
        <v/>
      </c>
      <c r="S603" s="195" t="str">
        <f t="shared" si="94"/>
        <v/>
      </c>
      <c r="T603" s="196" t="str">
        <f t="shared" si="95"/>
        <v/>
      </c>
      <c r="U603" s="197" t="str">
        <f t="shared" si="96"/>
        <v/>
      </c>
      <c r="V603" s="198" t="str">
        <f t="shared" si="93"/>
        <v/>
      </c>
      <c r="W603" s="339" t="str">
        <f t="shared" si="97"/>
        <v/>
      </c>
      <c r="X603" s="341" t="str">
        <f t="shared" si="98"/>
        <v/>
      </c>
      <c r="Y603" s="277"/>
      <c r="AR603" t="str">
        <f t="shared" si="99"/>
        <v/>
      </c>
      <c r="AS603" t="str">
        <f t="shared" si="100"/>
        <v/>
      </c>
    </row>
    <row r="604" spans="1:45">
      <c r="A604" s="294"/>
      <c r="B604" s="295"/>
      <c r="C604" s="296"/>
      <c r="D604" s="296"/>
      <c r="E604" s="296"/>
      <c r="F604" s="296"/>
      <c r="G604" s="297"/>
      <c r="H604" s="303"/>
      <c r="I604" s="298"/>
      <c r="J604" s="298"/>
      <c r="K604" s="299"/>
      <c r="L604" s="304"/>
      <c r="M604" s="300"/>
      <c r="N604" s="301"/>
      <c r="P604" s="193" t="str">
        <f>IF(R604 = "", "", COUNT(R$4:$R604))</f>
        <v/>
      </c>
      <c r="Q604" s="193" t="str">
        <f t="shared" si="91"/>
        <v/>
      </c>
      <c r="R604" s="194" t="str">
        <f t="shared" si="92"/>
        <v/>
      </c>
      <c r="S604" s="195" t="str">
        <f t="shared" si="94"/>
        <v/>
      </c>
      <c r="T604" s="196" t="str">
        <f t="shared" si="95"/>
        <v/>
      </c>
      <c r="U604" s="197" t="str">
        <f t="shared" si="96"/>
        <v/>
      </c>
      <c r="V604" s="198" t="str">
        <f t="shared" si="93"/>
        <v/>
      </c>
      <c r="W604" s="339" t="str">
        <f t="shared" si="97"/>
        <v/>
      </c>
      <c r="X604" s="341" t="str">
        <f t="shared" si="98"/>
        <v/>
      </c>
      <c r="Y604" s="277"/>
      <c r="AR604" t="str">
        <f t="shared" si="99"/>
        <v/>
      </c>
      <c r="AS604" t="str">
        <f t="shared" si="100"/>
        <v/>
      </c>
    </row>
    <row r="605" spans="1:45">
      <c r="A605" s="294"/>
      <c r="B605" s="295"/>
      <c r="C605" s="296"/>
      <c r="D605" s="296"/>
      <c r="E605" s="296"/>
      <c r="F605" s="296"/>
      <c r="G605" s="297"/>
      <c r="H605" s="303"/>
      <c r="I605" s="298"/>
      <c r="J605" s="298"/>
      <c r="K605" s="299"/>
      <c r="L605" s="304"/>
      <c r="M605" s="300"/>
      <c r="N605" s="301"/>
      <c r="P605" s="193" t="str">
        <f>IF(R605 = "", "", COUNT(R$4:$R605))</f>
        <v/>
      </c>
      <c r="Q605" s="193" t="str">
        <f t="shared" si="91"/>
        <v/>
      </c>
      <c r="R605" s="194" t="str">
        <f t="shared" si="92"/>
        <v/>
      </c>
      <c r="S605" s="195" t="str">
        <f t="shared" si="94"/>
        <v/>
      </c>
      <c r="T605" s="196" t="str">
        <f t="shared" si="95"/>
        <v/>
      </c>
      <c r="U605" s="197" t="str">
        <f t="shared" si="96"/>
        <v/>
      </c>
      <c r="V605" s="198" t="str">
        <f t="shared" si="93"/>
        <v/>
      </c>
      <c r="W605" s="339" t="str">
        <f t="shared" si="97"/>
        <v/>
      </c>
      <c r="X605" s="341" t="str">
        <f t="shared" si="98"/>
        <v/>
      </c>
      <c r="Y605" s="277"/>
      <c r="AR605" t="str">
        <f t="shared" si="99"/>
        <v/>
      </c>
      <c r="AS605" t="str">
        <f t="shared" si="100"/>
        <v/>
      </c>
    </row>
    <row r="606" spans="1:45">
      <c r="A606" s="294"/>
      <c r="B606" s="295"/>
      <c r="C606" s="296"/>
      <c r="D606" s="296"/>
      <c r="E606" s="296"/>
      <c r="F606" s="296"/>
      <c r="G606" s="297"/>
      <c r="H606" s="303"/>
      <c r="I606" s="298"/>
      <c r="J606" s="298"/>
      <c r="K606" s="299"/>
      <c r="L606" s="304"/>
      <c r="M606" s="300"/>
      <c r="N606" s="301"/>
      <c r="P606" s="193" t="str">
        <f>IF(R606 = "", "", COUNT(R$4:$R606))</f>
        <v/>
      </c>
      <c r="Q606" s="193" t="str">
        <f t="shared" si="91"/>
        <v/>
      </c>
      <c r="R606" s="194" t="str">
        <f t="shared" si="92"/>
        <v/>
      </c>
      <c r="S606" s="195" t="str">
        <f t="shared" si="94"/>
        <v/>
      </c>
      <c r="T606" s="196" t="str">
        <f t="shared" si="95"/>
        <v/>
      </c>
      <c r="U606" s="197" t="str">
        <f t="shared" si="96"/>
        <v/>
      </c>
      <c r="V606" s="198" t="str">
        <f t="shared" si="93"/>
        <v/>
      </c>
      <c r="W606" s="339" t="str">
        <f t="shared" si="97"/>
        <v/>
      </c>
      <c r="X606" s="341" t="str">
        <f t="shared" si="98"/>
        <v/>
      </c>
      <c r="Y606" s="277"/>
      <c r="AR606" t="str">
        <f t="shared" si="99"/>
        <v/>
      </c>
      <c r="AS606" t="str">
        <f t="shared" si="100"/>
        <v/>
      </c>
    </row>
    <row r="607" spans="1:45">
      <c r="A607" s="294"/>
      <c r="B607" s="295"/>
      <c r="C607" s="296"/>
      <c r="D607" s="296"/>
      <c r="E607" s="296"/>
      <c r="F607" s="296"/>
      <c r="G607" s="297"/>
      <c r="H607" s="303"/>
      <c r="I607" s="298"/>
      <c r="J607" s="298"/>
      <c r="K607" s="299"/>
      <c r="L607" s="304"/>
      <c r="M607" s="300"/>
      <c r="N607" s="301"/>
      <c r="P607" s="193" t="str">
        <f>IF(R607 = "", "", COUNT(R$4:$R607))</f>
        <v/>
      </c>
      <c r="Q607" s="193" t="str">
        <f t="shared" si="91"/>
        <v/>
      </c>
      <c r="R607" s="194" t="str">
        <f t="shared" si="92"/>
        <v/>
      </c>
      <c r="S607" s="195" t="str">
        <f t="shared" si="94"/>
        <v/>
      </c>
      <c r="T607" s="196" t="str">
        <f t="shared" si="95"/>
        <v/>
      </c>
      <c r="U607" s="197" t="str">
        <f t="shared" si="96"/>
        <v/>
      </c>
      <c r="V607" s="198" t="str">
        <f t="shared" si="93"/>
        <v/>
      </c>
      <c r="W607" s="339" t="str">
        <f t="shared" si="97"/>
        <v/>
      </c>
      <c r="X607" s="341" t="str">
        <f t="shared" si="98"/>
        <v/>
      </c>
      <c r="Y607" s="277"/>
      <c r="AR607" t="str">
        <f t="shared" si="99"/>
        <v/>
      </c>
      <c r="AS607" t="str">
        <f t="shared" si="100"/>
        <v/>
      </c>
    </row>
    <row r="608" spans="1:45">
      <c r="A608" s="294"/>
      <c r="B608" s="295"/>
      <c r="C608" s="296"/>
      <c r="D608" s="296"/>
      <c r="E608" s="296"/>
      <c r="F608" s="296"/>
      <c r="G608" s="297"/>
      <c r="H608" s="303"/>
      <c r="I608" s="298"/>
      <c r="J608" s="298"/>
      <c r="K608" s="299"/>
      <c r="L608" s="304"/>
      <c r="M608" s="300"/>
      <c r="N608" s="301"/>
      <c r="P608" s="193" t="str">
        <f>IF(R608 = "", "", COUNT(R$4:$R608))</f>
        <v/>
      </c>
      <c r="Q608" s="193" t="str">
        <f t="shared" si="91"/>
        <v/>
      </c>
      <c r="R608" s="194" t="str">
        <f t="shared" si="92"/>
        <v/>
      </c>
      <c r="S608" s="195" t="str">
        <f t="shared" si="94"/>
        <v/>
      </c>
      <c r="T608" s="196" t="str">
        <f t="shared" si="95"/>
        <v/>
      </c>
      <c r="U608" s="197" t="str">
        <f t="shared" si="96"/>
        <v/>
      </c>
      <c r="V608" s="198" t="str">
        <f t="shared" si="93"/>
        <v/>
      </c>
      <c r="W608" s="339" t="str">
        <f t="shared" si="97"/>
        <v/>
      </c>
      <c r="X608" s="341" t="str">
        <f t="shared" si="98"/>
        <v/>
      </c>
      <c r="Y608" s="277"/>
      <c r="AR608" t="str">
        <f t="shared" si="99"/>
        <v/>
      </c>
      <c r="AS608" t="str">
        <f t="shared" si="100"/>
        <v/>
      </c>
    </row>
    <row r="609" spans="1:45">
      <c r="A609" s="294"/>
      <c r="B609" s="295"/>
      <c r="C609" s="296"/>
      <c r="D609" s="296"/>
      <c r="E609" s="296"/>
      <c r="F609" s="296"/>
      <c r="G609" s="297"/>
      <c r="H609" s="303"/>
      <c r="I609" s="298"/>
      <c r="J609" s="298"/>
      <c r="K609" s="299"/>
      <c r="L609" s="304"/>
      <c r="M609" s="300"/>
      <c r="N609" s="301"/>
      <c r="P609" s="193" t="str">
        <f>IF(R609 = "", "", COUNT(R$4:$R609))</f>
        <v/>
      </c>
      <c r="Q609" s="193" t="str">
        <f t="shared" si="91"/>
        <v/>
      </c>
      <c r="R609" s="194" t="str">
        <f t="shared" si="92"/>
        <v/>
      </c>
      <c r="S609" s="195" t="str">
        <f t="shared" si="94"/>
        <v/>
      </c>
      <c r="T609" s="196" t="str">
        <f t="shared" si="95"/>
        <v/>
      </c>
      <c r="U609" s="197" t="str">
        <f t="shared" si="96"/>
        <v/>
      </c>
      <c r="V609" s="198" t="str">
        <f t="shared" si="93"/>
        <v/>
      </c>
      <c r="W609" s="339" t="str">
        <f t="shared" si="97"/>
        <v/>
      </c>
      <c r="X609" s="341" t="str">
        <f t="shared" si="98"/>
        <v/>
      </c>
      <c r="Y609" s="277"/>
      <c r="AR609" t="str">
        <f t="shared" si="99"/>
        <v/>
      </c>
      <c r="AS609" t="str">
        <f t="shared" si="100"/>
        <v/>
      </c>
    </row>
    <row r="610" spans="1:45">
      <c r="A610" s="294"/>
      <c r="B610" s="295"/>
      <c r="C610" s="296"/>
      <c r="D610" s="296"/>
      <c r="E610" s="296"/>
      <c r="F610" s="296"/>
      <c r="G610" s="297"/>
      <c r="H610" s="303"/>
      <c r="I610" s="298"/>
      <c r="J610" s="298"/>
      <c r="K610" s="299"/>
      <c r="L610" s="304"/>
      <c r="M610" s="300"/>
      <c r="N610" s="301"/>
      <c r="P610" s="193" t="str">
        <f>IF(R610 = "", "", COUNT(R$4:$R610))</f>
        <v/>
      </c>
      <c r="Q610" s="193" t="str">
        <f t="shared" si="91"/>
        <v/>
      </c>
      <c r="R610" s="194" t="str">
        <f t="shared" si="92"/>
        <v/>
      </c>
      <c r="S610" s="195" t="str">
        <f t="shared" si="94"/>
        <v/>
      </c>
      <c r="T610" s="196" t="str">
        <f t="shared" si="95"/>
        <v/>
      </c>
      <c r="U610" s="197" t="str">
        <f t="shared" si="96"/>
        <v/>
      </c>
      <c r="V610" s="198" t="str">
        <f t="shared" si="93"/>
        <v/>
      </c>
      <c r="W610" s="339" t="str">
        <f t="shared" si="97"/>
        <v/>
      </c>
      <c r="X610" s="341" t="str">
        <f t="shared" si="98"/>
        <v/>
      </c>
      <c r="Y610" s="277"/>
      <c r="AR610" t="str">
        <f t="shared" si="99"/>
        <v/>
      </c>
      <c r="AS610" t="str">
        <f t="shared" si="100"/>
        <v/>
      </c>
    </row>
    <row r="611" spans="1:45">
      <c r="A611" s="294"/>
      <c r="B611" s="295"/>
      <c r="C611" s="296"/>
      <c r="D611" s="296"/>
      <c r="E611" s="296"/>
      <c r="F611" s="296"/>
      <c r="G611" s="297"/>
      <c r="H611" s="303"/>
      <c r="I611" s="298"/>
      <c r="J611" s="298"/>
      <c r="K611" s="299"/>
      <c r="L611" s="304"/>
      <c r="M611" s="300"/>
      <c r="N611" s="301"/>
      <c r="P611" s="193" t="str">
        <f>IF(R611 = "", "", COUNT(R$4:$R611))</f>
        <v/>
      </c>
      <c r="Q611" s="193" t="str">
        <f t="shared" si="91"/>
        <v/>
      </c>
      <c r="R611" s="194" t="str">
        <f t="shared" si="92"/>
        <v/>
      </c>
      <c r="S611" s="195" t="str">
        <f t="shared" si="94"/>
        <v/>
      </c>
      <c r="T611" s="196" t="str">
        <f t="shared" si="95"/>
        <v/>
      </c>
      <c r="U611" s="197" t="str">
        <f t="shared" si="96"/>
        <v/>
      </c>
      <c r="V611" s="198" t="str">
        <f t="shared" si="93"/>
        <v/>
      </c>
      <c r="W611" s="339" t="str">
        <f t="shared" si="97"/>
        <v/>
      </c>
      <c r="X611" s="341" t="str">
        <f t="shared" si="98"/>
        <v/>
      </c>
      <c r="Y611" s="277"/>
      <c r="AR611" t="str">
        <f t="shared" si="99"/>
        <v/>
      </c>
      <c r="AS611" t="str">
        <f t="shared" si="100"/>
        <v/>
      </c>
    </row>
    <row r="612" spans="1:45">
      <c r="A612" s="294"/>
      <c r="B612" s="295"/>
      <c r="C612" s="296"/>
      <c r="D612" s="296"/>
      <c r="E612" s="296"/>
      <c r="F612" s="296"/>
      <c r="G612" s="297"/>
      <c r="H612" s="303"/>
      <c r="I612" s="298"/>
      <c r="J612" s="298"/>
      <c r="K612" s="299"/>
      <c r="L612" s="304"/>
      <c r="M612" s="300"/>
      <c r="N612" s="301"/>
      <c r="P612" s="193" t="str">
        <f>IF(R612 = "", "", COUNT(R$4:$R612))</f>
        <v/>
      </c>
      <c r="Q612" s="193" t="str">
        <f t="shared" si="91"/>
        <v/>
      </c>
      <c r="R612" s="194" t="str">
        <f t="shared" si="92"/>
        <v/>
      </c>
      <c r="S612" s="195" t="str">
        <f t="shared" si="94"/>
        <v/>
      </c>
      <c r="T612" s="196" t="str">
        <f t="shared" si="95"/>
        <v/>
      </c>
      <c r="U612" s="197" t="str">
        <f t="shared" si="96"/>
        <v/>
      </c>
      <c r="V612" s="198" t="str">
        <f t="shared" si="93"/>
        <v/>
      </c>
      <c r="W612" s="339" t="str">
        <f t="shared" si="97"/>
        <v/>
      </c>
      <c r="X612" s="341" t="str">
        <f t="shared" si="98"/>
        <v/>
      </c>
      <c r="Y612" s="277"/>
      <c r="AR612" t="str">
        <f t="shared" si="99"/>
        <v/>
      </c>
      <c r="AS612" t="str">
        <f t="shared" si="100"/>
        <v/>
      </c>
    </row>
    <row r="613" spans="1:45">
      <c r="A613" s="294"/>
      <c r="B613" s="295"/>
      <c r="C613" s="296"/>
      <c r="D613" s="296"/>
      <c r="E613" s="296"/>
      <c r="F613" s="296"/>
      <c r="G613" s="297"/>
      <c r="H613" s="303"/>
      <c r="I613" s="298"/>
      <c r="J613" s="298"/>
      <c r="K613" s="299"/>
      <c r="L613" s="304"/>
      <c r="M613" s="300"/>
      <c r="N613" s="301"/>
      <c r="P613" s="193" t="str">
        <f>IF(R613 = "", "", COUNT(R$4:$R613))</f>
        <v/>
      </c>
      <c r="Q613" s="193" t="str">
        <f t="shared" si="91"/>
        <v/>
      </c>
      <c r="R613" s="194" t="str">
        <f t="shared" si="92"/>
        <v/>
      </c>
      <c r="S613" s="195" t="str">
        <f t="shared" si="94"/>
        <v/>
      </c>
      <c r="T613" s="196" t="str">
        <f t="shared" si="95"/>
        <v/>
      </c>
      <c r="U613" s="197" t="str">
        <f t="shared" si="96"/>
        <v/>
      </c>
      <c r="V613" s="198" t="str">
        <f t="shared" si="93"/>
        <v/>
      </c>
      <c r="W613" s="339" t="str">
        <f t="shared" si="97"/>
        <v/>
      </c>
      <c r="X613" s="341" t="str">
        <f t="shared" si="98"/>
        <v/>
      </c>
      <c r="Y613" s="277"/>
      <c r="AR613" t="str">
        <f t="shared" si="99"/>
        <v/>
      </c>
      <c r="AS613" t="str">
        <f t="shared" si="100"/>
        <v/>
      </c>
    </row>
    <row r="614" spans="1:45">
      <c r="A614" s="294"/>
      <c r="B614" s="295"/>
      <c r="C614" s="296"/>
      <c r="D614" s="296"/>
      <c r="E614" s="296"/>
      <c r="F614" s="296"/>
      <c r="G614" s="297"/>
      <c r="H614" s="303"/>
      <c r="I614" s="298"/>
      <c r="J614" s="298"/>
      <c r="K614" s="299"/>
      <c r="L614" s="304"/>
      <c r="M614" s="300"/>
      <c r="N614" s="301"/>
      <c r="P614" s="193" t="str">
        <f>IF(R614 = "", "", COUNT(R$4:$R614))</f>
        <v/>
      </c>
      <c r="Q614" s="193" t="str">
        <f t="shared" si="91"/>
        <v/>
      </c>
      <c r="R614" s="194" t="str">
        <f t="shared" si="92"/>
        <v/>
      </c>
      <c r="S614" s="195" t="str">
        <f t="shared" si="94"/>
        <v/>
      </c>
      <c r="T614" s="196" t="str">
        <f t="shared" si="95"/>
        <v/>
      </c>
      <c r="U614" s="197" t="str">
        <f t="shared" si="96"/>
        <v/>
      </c>
      <c r="V614" s="198" t="str">
        <f t="shared" si="93"/>
        <v/>
      </c>
      <c r="W614" s="339" t="str">
        <f t="shared" si="97"/>
        <v/>
      </c>
      <c r="X614" s="341" t="str">
        <f t="shared" si="98"/>
        <v/>
      </c>
      <c r="Y614" s="277"/>
      <c r="AR614" t="str">
        <f t="shared" si="99"/>
        <v/>
      </c>
      <c r="AS614" t="str">
        <f t="shared" si="100"/>
        <v/>
      </c>
    </row>
    <row r="615" spans="1:45">
      <c r="A615" s="294"/>
      <c r="B615" s="295"/>
      <c r="C615" s="296"/>
      <c r="D615" s="296"/>
      <c r="E615" s="296"/>
      <c r="F615" s="296"/>
      <c r="G615" s="297"/>
      <c r="H615" s="303"/>
      <c r="I615" s="298"/>
      <c r="J615" s="298"/>
      <c r="K615" s="299"/>
      <c r="L615" s="304"/>
      <c r="M615" s="300"/>
      <c r="N615" s="301"/>
      <c r="P615" s="193" t="str">
        <f>IF(R615 = "", "", COUNT(R$4:$R615))</f>
        <v/>
      </c>
      <c r="Q615" s="193" t="str">
        <f t="shared" si="91"/>
        <v/>
      </c>
      <c r="R615" s="194" t="str">
        <f t="shared" si="92"/>
        <v/>
      </c>
      <c r="S615" s="195" t="str">
        <f t="shared" si="94"/>
        <v/>
      </c>
      <c r="T615" s="196" t="str">
        <f t="shared" si="95"/>
        <v/>
      </c>
      <c r="U615" s="197" t="str">
        <f t="shared" si="96"/>
        <v/>
      </c>
      <c r="V615" s="198" t="str">
        <f t="shared" si="93"/>
        <v/>
      </c>
      <c r="W615" s="339" t="str">
        <f t="shared" si="97"/>
        <v/>
      </c>
      <c r="X615" s="341" t="str">
        <f t="shared" si="98"/>
        <v/>
      </c>
      <c r="Y615" s="277"/>
      <c r="AR615" t="str">
        <f t="shared" si="99"/>
        <v/>
      </c>
      <c r="AS615" t="str">
        <f t="shared" si="100"/>
        <v/>
      </c>
    </row>
    <row r="616" spans="1:45">
      <c r="A616" s="294"/>
      <c r="B616" s="295"/>
      <c r="C616" s="296"/>
      <c r="D616" s="296"/>
      <c r="E616" s="296"/>
      <c r="F616" s="296"/>
      <c r="G616" s="297"/>
      <c r="H616" s="303"/>
      <c r="I616" s="298"/>
      <c r="J616" s="298"/>
      <c r="K616" s="299"/>
      <c r="L616" s="304"/>
      <c r="M616" s="300"/>
      <c r="N616" s="301"/>
      <c r="P616" s="193" t="str">
        <f>IF(R616 = "", "", COUNT(R$4:$R616))</f>
        <v/>
      </c>
      <c r="Q616" s="193" t="str">
        <f t="shared" si="91"/>
        <v/>
      </c>
      <c r="R616" s="194" t="str">
        <f t="shared" si="92"/>
        <v/>
      </c>
      <c r="S616" s="195" t="str">
        <f t="shared" si="94"/>
        <v/>
      </c>
      <c r="T616" s="196" t="str">
        <f t="shared" si="95"/>
        <v/>
      </c>
      <c r="U616" s="197" t="str">
        <f t="shared" si="96"/>
        <v/>
      </c>
      <c r="V616" s="198" t="str">
        <f t="shared" si="93"/>
        <v/>
      </c>
      <c r="W616" s="339" t="str">
        <f t="shared" si="97"/>
        <v/>
      </c>
      <c r="X616" s="341" t="str">
        <f t="shared" si="98"/>
        <v/>
      </c>
      <c r="Y616" s="277"/>
      <c r="AR616" t="str">
        <f t="shared" si="99"/>
        <v/>
      </c>
      <c r="AS616" t="str">
        <f t="shared" si="100"/>
        <v/>
      </c>
    </row>
    <row r="617" spans="1:45">
      <c r="A617" s="294"/>
      <c r="B617" s="295"/>
      <c r="C617" s="296"/>
      <c r="D617" s="296"/>
      <c r="E617" s="296"/>
      <c r="F617" s="296"/>
      <c r="G617" s="297"/>
      <c r="H617" s="303"/>
      <c r="I617" s="298"/>
      <c r="J617" s="298"/>
      <c r="K617" s="299"/>
      <c r="L617" s="304"/>
      <c r="M617" s="300"/>
      <c r="N617" s="301"/>
      <c r="P617" s="193" t="str">
        <f>IF(R617 = "", "", COUNT(R$4:$R617))</f>
        <v/>
      </c>
      <c r="Q617" s="193" t="str">
        <f t="shared" si="91"/>
        <v/>
      </c>
      <c r="R617" s="194" t="str">
        <f t="shared" si="92"/>
        <v/>
      </c>
      <c r="S617" s="195" t="str">
        <f t="shared" si="94"/>
        <v/>
      </c>
      <c r="T617" s="196" t="str">
        <f t="shared" si="95"/>
        <v/>
      </c>
      <c r="U617" s="197" t="str">
        <f t="shared" si="96"/>
        <v/>
      </c>
      <c r="V617" s="198" t="str">
        <f t="shared" si="93"/>
        <v/>
      </c>
      <c r="W617" s="339" t="str">
        <f t="shared" si="97"/>
        <v/>
      </c>
      <c r="X617" s="341" t="str">
        <f t="shared" si="98"/>
        <v/>
      </c>
      <c r="Y617" s="277"/>
      <c r="AR617" t="str">
        <f t="shared" si="99"/>
        <v/>
      </c>
      <c r="AS617" t="str">
        <f t="shared" si="100"/>
        <v/>
      </c>
    </row>
    <row r="618" spans="1:45">
      <c r="A618" s="294"/>
      <c r="B618" s="295"/>
      <c r="C618" s="296"/>
      <c r="D618" s="296"/>
      <c r="E618" s="296"/>
      <c r="F618" s="296"/>
      <c r="G618" s="297"/>
      <c r="H618" s="303"/>
      <c r="I618" s="298"/>
      <c r="J618" s="298"/>
      <c r="K618" s="299"/>
      <c r="L618" s="304"/>
      <c r="M618" s="300"/>
      <c r="N618" s="301"/>
      <c r="P618" s="193" t="str">
        <f>IF(R618 = "", "", COUNT(R$4:$R618))</f>
        <v/>
      </c>
      <c r="Q618" s="193" t="str">
        <f t="shared" si="91"/>
        <v/>
      </c>
      <c r="R618" s="194" t="str">
        <f t="shared" si="92"/>
        <v/>
      </c>
      <c r="S618" s="195" t="str">
        <f t="shared" si="94"/>
        <v/>
      </c>
      <c r="T618" s="196" t="str">
        <f t="shared" si="95"/>
        <v/>
      </c>
      <c r="U618" s="197" t="str">
        <f t="shared" si="96"/>
        <v/>
      </c>
      <c r="V618" s="198" t="str">
        <f t="shared" si="93"/>
        <v/>
      </c>
      <c r="W618" s="339" t="str">
        <f t="shared" si="97"/>
        <v/>
      </c>
      <c r="X618" s="341" t="str">
        <f t="shared" si="98"/>
        <v/>
      </c>
      <c r="Y618" s="277"/>
      <c r="AR618" t="str">
        <f t="shared" si="99"/>
        <v/>
      </c>
      <c r="AS618" t="str">
        <f t="shared" si="100"/>
        <v/>
      </c>
    </row>
    <row r="619" spans="1:45">
      <c r="A619" s="294"/>
      <c r="B619" s="295"/>
      <c r="C619" s="296"/>
      <c r="D619" s="296"/>
      <c r="E619" s="296"/>
      <c r="F619" s="296"/>
      <c r="G619" s="297"/>
      <c r="H619" s="303"/>
      <c r="I619" s="298"/>
      <c r="J619" s="298"/>
      <c r="K619" s="299"/>
      <c r="L619" s="304"/>
      <c r="M619" s="300"/>
      <c r="N619" s="301"/>
      <c r="P619" s="193" t="str">
        <f>IF(R619 = "", "", COUNT(R$4:$R619))</f>
        <v/>
      </c>
      <c r="Q619" s="193" t="str">
        <f t="shared" si="91"/>
        <v/>
      </c>
      <c r="R619" s="194" t="str">
        <f t="shared" si="92"/>
        <v/>
      </c>
      <c r="S619" s="195" t="str">
        <f t="shared" si="94"/>
        <v/>
      </c>
      <c r="T619" s="196" t="str">
        <f t="shared" si="95"/>
        <v/>
      </c>
      <c r="U619" s="197" t="str">
        <f t="shared" si="96"/>
        <v/>
      </c>
      <c r="V619" s="198" t="str">
        <f t="shared" si="93"/>
        <v/>
      </c>
      <c r="W619" s="339" t="str">
        <f t="shared" si="97"/>
        <v/>
      </c>
      <c r="X619" s="341" t="str">
        <f t="shared" si="98"/>
        <v/>
      </c>
      <c r="Y619" s="277"/>
      <c r="AR619" t="str">
        <f t="shared" si="99"/>
        <v/>
      </c>
      <c r="AS619" t="str">
        <f t="shared" si="100"/>
        <v/>
      </c>
    </row>
    <row r="620" spans="1:45">
      <c r="A620" s="294"/>
      <c r="B620" s="295"/>
      <c r="C620" s="296"/>
      <c r="D620" s="296"/>
      <c r="E620" s="296"/>
      <c r="F620" s="296"/>
      <c r="G620" s="297"/>
      <c r="H620" s="303"/>
      <c r="I620" s="298"/>
      <c r="J620" s="298"/>
      <c r="K620" s="299"/>
      <c r="L620" s="304"/>
      <c r="M620" s="300"/>
      <c r="N620" s="301"/>
      <c r="P620" s="193" t="str">
        <f>IF(R620 = "", "", COUNT(R$4:$R620))</f>
        <v/>
      </c>
      <c r="Q620" s="193" t="str">
        <f t="shared" si="91"/>
        <v/>
      </c>
      <c r="R620" s="194" t="str">
        <f t="shared" si="92"/>
        <v/>
      </c>
      <c r="S620" s="195" t="str">
        <f t="shared" si="94"/>
        <v/>
      </c>
      <c r="T620" s="196" t="str">
        <f t="shared" si="95"/>
        <v/>
      </c>
      <c r="U620" s="197" t="str">
        <f t="shared" si="96"/>
        <v/>
      </c>
      <c r="V620" s="198" t="str">
        <f t="shared" si="93"/>
        <v/>
      </c>
      <c r="W620" s="339" t="str">
        <f t="shared" si="97"/>
        <v/>
      </c>
      <c r="X620" s="341" t="str">
        <f t="shared" si="98"/>
        <v/>
      </c>
      <c r="Y620" s="277"/>
      <c r="AR620" t="str">
        <f t="shared" si="99"/>
        <v/>
      </c>
      <c r="AS620" t="str">
        <f t="shared" si="100"/>
        <v/>
      </c>
    </row>
    <row r="621" spans="1:45">
      <c r="A621" s="294"/>
      <c r="B621" s="295"/>
      <c r="C621" s="296"/>
      <c r="D621" s="296"/>
      <c r="E621" s="296"/>
      <c r="F621" s="296"/>
      <c r="G621" s="297"/>
      <c r="H621" s="303"/>
      <c r="I621" s="298"/>
      <c r="J621" s="298"/>
      <c r="K621" s="299"/>
      <c r="L621" s="304"/>
      <c r="M621" s="300"/>
      <c r="N621" s="301"/>
      <c r="P621" s="193" t="str">
        <f>IF(R621 = "", "", COUNT(R$4:$R621))</f>
        <v/>
      </c>
      <c r="Q621" s="193" t="str">
        <f t="shared" si="91"/>
        <v/>
      </c>
      <c r="R621" s="194" t="str">
        <f t="shared" si="92"/>
        <v/>
      </c>
      <c r="S621" s="195" t="str">
        <f t="shared" si="94"/>
        <v/>
      </c>
      <c r="T621" s="196" t="str">
        <f t="shared" si="95"/>
        <v/>
      </c>
      <c r="U621" s="197" t="str">
        <f t="shared" si="96"/>
        <v/>
      </c>
      <c r="V621" s="198" t="str">
        <f t="shared" si="93"/>
        <v/>
      </c>
      <c r="W621" s="339" t="str">
        <f t="shared" si="97"/>
        <v/>
      </c>
      <c r="X621" s="341" t="str">
        <f t="shared" si="98"/>
        <v/>
      </c>
      <c r="Y621" s="277"/>
      <c r="AR621" t="str">
        <f t="shared" si="99"/>
        <v/>
      </c>
      <c r="AS621" t="str">
        <f t="shared" si="100"/>
        <v/>
      </c>
    </row>
    <row r="622" spans="1:45">
      <c r="A622" s="294"/>
      <c r="B622" s="295"/>
      <c r="C622" s="296"/>
      <c r="D622" s="296"/>
      <c r="E622" s="296"/>
      <c r="F622" s="296"/>
      <c r="G622" s="297"/>
      <c r="H622" s="303"/>
      <c r="I622" s="298"/>
      <c r="J622" s="298"/>
      <c r="K622" s="299"/>
      <c r="L622" s="304"/>
      <c r="M622" s="300"/>
      <c r="N622" s="301"/>
      <c r="P622" s="193" t="str">
        <f>IF(R622 = "", "", COUNT(R$4:$R622))</f>
        <v/>
      </c>
      <c r="Q622" s="193" t="str">
        <f t="shared" si="91"/>
        <v/>
      </c>
      <c r="R622" s="194" t="str">
        <f t="shared" si="92"/>
        <v/>
      </c>
      <c r="S622" s="195" t="str">
        <f t="shared" si="94"/>
        <v/>
      </c>
      <c r="T622" s="196" t="str">
        <f t="shared" si="95"/>
        <v/>
      </c>
      <c r="U622" s="197" t="str">
        <f t="shared" si="96"/>
        <v/>
      </c>
      <c r="V622" s="198" t="str">
        <f t="shared" si="93"/>
        <v/>
      </c>
      <c r="W622" s="339" t="str">
        <f t="shared" si="97"/>
        <v/>
      </c>
      <c r="X622" s="341" t="str">
        <f t="shared" si="98"/>
        <v/>
      </c>
      <c r="Y622" s="277"/>
      <c r="AR622" t="str">
        <f t="shared" si="99"/>
        <v/>
      </c>
      <c r="AS622" t="str">
        <f t="shared" si="100"/>
        <v/>
      </c>
    </row>
    <row r="623" spans="1:45">
      <c r="A623" s="294"/>
      <c r="B623" s="295"/>
      <c r="C623" s="296"/>
      <c r="D623" s="296"/>
      <c r="E623" s="296"/>
      <c r="F623" s="296"/>
      <c r="G623" s="297"/>
      <c r="H623" s="303"/>
      <c r="I623" s="298"/>
      <c r="J623" s="298"/>
      <c r="K623" s="299"/>
      <c r="L623" s="304"/>
      <c r="M623" s="300"/>
      <c r="N623" s="301"/>
      <c r="P623" s="193" t="str">
        <f>IF(R623 = "", "", COUNT(R$4:$R623))</f>
        <v/>
      </c>
      <c r="Q623" s="193" t="str">
        <f t="shared" si="91"/>
        <v/>
      </c>
      <c r="R623" s="194" t="str">
        <f t="shared" si="92"/>
        <v/>
      </c>
      <c r="S623" s="195" t="str">
        <f t="shared" si="94"/>
        <v/>
      </c>
      <c r="T623" s="196" t="str">
        <f t="shared" si="95"/>
        <v/>
      </c>
      <c r="U623" s="197" t="str">
        <f t="shared" si="96"/>
        <v/>
      </c>
      <c r="V623" s="198" t="str">
        <f t="shared" si="93"/>
        <v/>
      </c>
      <c r="W623" s="339" t="str">
        <f t="shared" si="97"/>
        <v/>
      </c>
      <c r="X623" s="341" t="str">
        <f t="shared" si="98"/>
        <v/>
      </c>
      <c r="Y623" s="277"/>
      <c r="AR623" t="str">
        <f t="shared" si="99"/>
        <v/>
      </c>
      <c r="AS623" t="str">
        <f t="shared" si="100"/>
        <v/>
      </c>
    </row>
    <row r="624" spans="1:45">
      <c r="A624" s="294"/>
      <c r="B624" s="295"/>
      <c r="C624" s="296"/>
      <c r="D624" s="296"/>
      <c r="E624" s="296"/>
      <c r="F624" s="296"/>
      <c r="G624" s="297"/>
      <c r="H624" s="303"/>
      <c r="I624" s="298"/>
      <c r="J624" s="298"/>
      <c r="K624" s="299"/>
      <c r="L624" s="304"/>
      <c r="M624" s="300"/>
      <c r="N624" s="301"/>
      <c r="P624" s="193" t="str">
        <f>IF(R624 = "", "", COUNT(R$4:$R624))</f>
        <v/>
      </c>
      <c r="Q624" s="193" t="str">
        <f t="shared" si="91"/>
        <v/>
      </c>
      <c r="R624" s="194" t="str">
        <f t="shared" si="92"/>
        <v/>
      </c>
      <c r="S624" s="195" t="str">
        <f t="shared" si="94"/>
        <v/>
      </c>
      <c r="T624" s="196" t="str">
        <f t="shared" si="95"/>
        <v/>
      </c>
      <c r="U624" s="197" t="str">
        <f t="shared" si="96"/>
        <v/>
      </c>
      <c r="V624" s="198" t="str">
        <f t="shared" si="93"/>
        <v/>
      </c>
      <c r="W624" s="339" t="str">
        <f t="shared" si="97"/>
        <v/>
      </c>
      <c r="X624" s="341" t="str">
        <f t="shared" si="98"/>
        <v/>
      </c>
      <c r="Y624" s="277"/>
      <c r="AR624" t="str">
        <f t="shared" si="99"/>
        <v/>
      </c>
      <c r="AS624" t="str">
        <f t="shared" si="100"/>
        <v/>
      </c>
    </row>
    <row r="625" spans="1:45">
      <c r="A625" s="294"/>
      <c r="B625" s="295"/>
      <c r="C625" s="296"/>
      <c r="D625" s="296"/>
      <c r="E625" s="296"/>
      <c r="F625" s="296"/>
      <c r="G625" s="297"/>
      <c r="H625" s="303"/>
      <c r="I625" s="298"/>
      <c r="J625" s="298"/>
      <c r="K625" s="299"/>
      <c r="L625" s="304"/>
      <c r="M625" s="300"/>
      <c r="N625" s="301"/>
      <c r="P625" s="193" t="str">
        <f>IF(R625 = "", "", COUNT(R$4:$R625))</f>
        <v/>
      </c>
      <c r="Q625" s="193" t="str">
        <f t="shared" si="91"/>
        <v/>
      </c>
      <c r="R625" s="194" t="str">
        <f t="shared" si="92"/>
        <v/>
      </c>
      <c r="S625" s="195" t="str">
        <f t="shared" si="94"/>
        <v/>
      </c>
      <c r="T625" s="196" t="str">
        <f t="shared" si="95"/>
        <v/>
      </c>
      <c r="U625" s="197" t="str">
        <f t="shared" si="96"/>
        <v/>
      </c>
      <c r="V625" s="198" t="str">
        <f t="shared" si="93"/>
        <v/>
      </c>
      <c r="W625" s="339" t="str">
        <f t="shared" si="97"/>
        <v/>
      </c>
      <c r="X625" s="341" t="str">
        <f t="shared" si="98"/>
        <v/>
      </c>
      <c r="Y625" s="277"/>
      <c r="AR625" t="str">
        <f t="shared" si="99"/>
        <v/>
      </c>
      <c r="AS625" t="str">
        <f t="shared" si="100"/>
        <v/>
      </c>
    </row>
    <row r="626" spans="1:45">
      <c r="A626" s="294"/>
      <c r="B626" s="295"/>
      <c r="C626" s="296"/>
      <c r="D626" s="296"/>
      <c r="E626" s="296"/>
      <c r="F626" s="296"/>
      <c r="G626" s="297"/>
      <c r="H626" s="303"/>
      <c r="I626" s="298"/>
      <c r="J626" s="298"/>
      <c r="K626" s="299"/>
      <c r="L626" s="304"/>
      <c r="M626" s="300"/>
      <c r="N626" s="301"/>
      <c r="P626" s="193" t="str">
        <f>IF(R626 = "", "", COUNT(R$4:$R626))</f>
        <v/>
      </c>
      <c r="Q626" s="193" t="str">
        <f t="shared" si="91"/>
        <v/>
      </c>
      <c r="R626" s="194" t="str">
        <f t="shared" si="92"/>
        <v/>
      </c>
      <c r="S626" s="195" t="str">
        <f t="shared" si="94"/>
        <v/>
      </c>
      <c r="T626" s="196" t="str">
        <f t="shared" si="95"/>
        <v/>
      </c>
      <c r="U626" s="197" t="str">
        <f t="shared" si="96"/>
        <v/>
      </c>
      <c r="V626" s="198" t="str">
        <f t="shared" si="93"/>
        <v/>
      </c>
      <c r="W626" s="339" t="str">
        <f t="shared" si="97"/>
        <v/>
      </c>
      <c r="X626" s="341" t="str">
        <f t="shared" si="98"/>
        <v/>
      </c>
      <c r="Y626" s="277"/>
      <c r="AR626" t="str">
        <f t="shared" si="99"/>
        <v/>
      </c>
      <c r="AS626" t="str">
        <f t="shared" si="100"/>
        <v/>
      </c>
    </row>
    <row r="627" spans="1:45">
      <c r="A627" s="294"/>
      <c r="B627" s="295"/>
      <c r="C627" s="296"/>
      <c r="D627" s="296"/>
      <c r="E627" s="296"/>
      <c r="F627" s="296"/>
      <c r="G627" s="297"/>
      <c r="H627" s="303"/>
      <c r="I627" s="298"/>
      <c r="J627" s="298"/>
      <c r="K627" s="299"/>
      <c r="L627" s="304"/>
      <c r="M627" s="300"/>
      <c r="N627" s="301"/>
      <c r="P627" s="193" t="str">
        <f>IF(R627 = "", "", COUNT(R$4:$R627))</f>
        <v/>
      </c>
      <c r="Q627" s="193" t="str">
        <f t="shared" si="91"/>
        <v/>
      </c>
      <c r="R627" s="194" t="str">
        <f t="shared" si="92"/>
        <v/>
      </c>
      <c r="S627" s="195" t="str">
        <f t="shared" si="94"/>
        <v/>
      </c>
      <c r="T627" s="196" t="str">
        <f t="shared" si="95"/>
        <v/>
      </c>
      <c r="U627" s="197" t="str">
        <f t="shared" si="96"/>
        <v/>
      </c>
      <c r="V627" s="198" t="str">
        <f t="shared" si="93"/>
        <v/>
      </c>
      <c r="W627" s="339" t="str">
        <f t="shared" si="97"/>
        <v/>
      </c>
      <c r="X627" s="341" t="str">
        <f t="shared" si="98"/>
        <v/>
      </c>
      <c r="Y627" s="277"/>
      <c r="AR627" t="str">
        <f t="shared" si="99"/>
        <v/>
      </c>
      <c r="AS627" t="str">
        <f t="shared" si="100"/>
        <v/>
      </c>
    </row>
    <row r="628" spans="1:45">
      <c r="A628" s="294"/>
      <c r="B628" s="295"/>
      <c r="C628" s="296"/>
      <c r="D628" s="296"/>
      <c r="E628" s="296"/>
      <c r="F628" s="296"/>
      <c r="G628" s="297"/>
      <c r="H628" s="303"/>
      <c r="I628" s="298"/>
      <c r="J628" s="298"/>
      <c r="K628" s="299"/>
      <c r="L628" s="304"/>
      <c r="M628" s="300"/>
      <c r="N628" s="301"/>
      <c r="P628" s="193" t="str">
        <f>IF(R628 = "", "", COUNT(R$4:$R628))</f>
        <v/>
      </c>
      <c r="Q628" s="193" t="str">
        <f t="shared" si="91"/>
        <v/>
      </c>
      <c r="R628" s="194" t="str">
        <f t="shared" si="92"/>
        <v/>
      </c>
      <c r="S628" s="195" t="str">
        <f t="shared" si="94"/>
        <v/>
      </c>
      <c r="T628" s="196" t="str">
        <f t="shared" si="95"/>
        <v/>
      </c>
      <c r="U628" s="197" t="str">
        <f t="shared" si="96"/>
        <v/>
      </c>
      <c r="V628" s="198" t="str">
        <f t="shared" si="93"/>
        <v/>
      </c>
      <c r="W628" s="339" t="str">
        <f t="shared" si="97"/>
        <v/>
      </c>
      <c r="X628" s="341" t="str">
        <f t="shared" si="98"/>
        <v/>
      </c>
      <c r="Y628" s="277"/>
      <c r="AR628" t="str">
        <f t="shared" si="99"/>
        <v/>
      </c>
      <c r="AS628" t="str">
        <f t="shared" si="100"/>
        <v/>
      </c>
    </row>
    <row r="629" spans="1:45">
      <c r="A629" s="294"/>
      <c r="B629" s="295"/>
      <c r="C629" s="296"/>
      <c r="D629" s="296"/>
      <c r="E629" s="296"/>
      <c r="F629" s="296"/>
      <c r="G629" s="297"/>
      <c r="H629" s="303"/>
      <c r="I629" s="298"/>
      <c r="J629" s="298"/>
      <c r="K629" s="299"/>
      <c r="L629" s="304"/>
      <c r="M629" s="300"/>
      <c r="N629" s="301"/>
      <c r="P629" s="193" t="str">
        <f>IF(R629 = "", "", COUNT(R$4:$R629))</f>
        <v/>
      </c>
      <c r="Q629" s="193" t="str">
        <f t="shared" si="91"/>
        <v/>
      </c>
      <c r="R629" s="194" t="str">
        <f t="shared" si="92"/>
        <v/>
      </c>
      <c r="S629" s="195" t="str">
        <f t="shared" si="94"/>
        <v/>
      </c>
      <c r="T629" s="196" t="str">
        <f t="shared" si="95"/>
        <v/>
      </c>
      <c r="U629" s="197" t="str">
        <f t="shared" si="96"/>
        <v/>
      </c>
      <c r="V629" s="198" t="str">
        <f t="shared" si="93"/>
        <v/>
      </c>
      <c r="W629" s="339" t="str">
        <f t="shared" si="97"/>
        <v/>
      </c>
      <c r="X629" s="341" t="str">
        <f t="shared" si="98"/>
        <v/>
      </c>
      <c r="Y629" s="277"/>
      <c r="AR629" t="str">
        <f t="shared" si="99"/>
        <v/>
      </c>
      <c r="AS629" t="str">
        <f t="shared" si="100"/>
        <v/>
      </c>
    </row>
    <row r="630" spans="1:45">
      <c r="A630" s="294"/>
      <c r="B630" s="295"/>
      <c r="C630" s="296"/>
      <c r="D630" s="296"/>
      <c r="E630" s="296"/>
      <c r="F630" s="296"/>
      <c r="G630" s="297"/>
      <c r="H630" s="303"/>
      <c r="I630" s="298"/>
      <c r="J630" s="298"/>
      <c r="K630" s="299"/>
      <c r="L630" s="304"/>
      <c r="M630" s="300"/>
      <c r="N630" s="301"/>
      <c r="P630" s="193" t="str">
        <f>IF(R630 = "", "", COUNT(R$4:$R630))</f>
        <v/>
      </c>
      <c r="Q630" s="193" t="str">
        <f t="shared" si="91"/>
        <v/>
      </c>
      <c r="R630" s="194" t="str">
        <f t="shared" si="92"/>
        <v/>
      </c>
      <c r="S630" s="195" t="str">
        <f t="shared" si="94"/>
        <v/>
      </c>
      <c r="T630" s="196" t="str">
        <f t="shared" si="95"/>
        <v/>
      </c>
      <c r="U630" s="197" t="str">
        <f t="shared" si="96"/>
        <v/>
      </c>
      <c r="V630" s="198" t="str">
        <f t="shared" si="93"/>
        <v/>
      </c>
      <c r="W630" s="339" t="str">
        <f t="shared" si="97"/>
        <v/>
      </c>
      <c r="X630" s="341" t="str">
        <f t="shared" si="98"/>
        <v/>
      </c>
      <c r="Y630" s="277"/>
      <c r="AR630" t="str">
        <f t="shared" si="99"/>
        <v/>
      </c>
      <c r="AS630" t="str">
        <f t="shared" si="100"/>
        <v/>
      </c>
    </row>
    <row r="631" spans="1:45">
      <c r="A631" s="294"/>
      <c r="B631" s="295"/>
      <c r="C631" s="296"/>
      <c r="D631" s="296"/>
      <c r="E631" s="296"/>
      <c r="F631" s="296"/>
      <c r="G631" s="297"/>
      <c r="H631" s="303"/>
      <c r="I631" s="298"/>
      <c r="J631" s="298"/>
      <c r="K631" s="299"/>
      <c r="L631" s="304"/>
      <c r="M631" s="300"/>
      <c r="N631" s="301"/>
      <c r="P631" s="193" t="str">
        <f>IF(R631 = "", "", COUNT(R$4:$R631))</f>
        <v/>
      </c>
      <c r="Q631" s="193" t="str">
        <f t="shared" si="91"/>
        <v/>
      </c>
      <c r="R631" s="194" t="str">
        <f t="shared" si="92"/>
        <v/>
      </c>
      <c r="S631" s="195" t="str">
        <f t="shared" si="94"/>
        <v/>
      </c>
      <c r="T631" s="196" t="str">
        <f t="shared" si="95"/>
        <v/>
      </c>
      <c r="U631" s="197" t="str">
        <f t="shared" si="96"/>
        <v/>
      </c>
      <c r="V631" s="198" t="str">
        <f t="shared" si="93"/>
        <v/>
      </c>
      <c r="W631" s="339" t="str">
        <f t="shared" si="97"/>
        <v/>
      </c>
      <c r="X631" s="341" t="str">
        <f t="shared" si="98"/>
        <v/>
      </c>
      <c r="Y631" s="277"/>
      <c r="AR631" t="str">
        <f t="shared" si="99"/>
        <v/>
      </c>
      <c r="AS631" t="str">
        <f t="shared" si="100"/>
        <v/>
      </c>
    </row>
    <row r="632" spans="1:45">
      <c r="A632" s="294"/>
      <c r="B632" s="295"/>
      <c r="C632" s="296"/>
      <c r="D632" s="296"/>
      <c r="E632" s="296"/>
      <c r="F632" s="296"/>
      <c r="G632" s="297"/>
      <c r="H632" s="303"/>
      <c r="I632" s="298"/>
      <c r="J632" s="298"/>
      <c r="K632" s="299"/>
      <c r="L632" s="304"/>
      <c r="M632" s="300"/>
      <c r="N632" s="301"/>
      <c r="P632" s="193" t="str">
        <f>IF(R632 = "", "", COUNT(R$4:$R632))</f>
        <v/>
      </c>
      <c r="Q632" s="193" t="str">
        <f t="shared" si="91"/>
        <v/>
      </c>
      <c r="R632" s="194" t="str">
        <f t="shared" si="92"/>
        <v/>
      </c>
      <c r="S632" s="195" t="str">
        <f t="shared" si="94"/>
        <v/>
      </c>
      <c r="T632" s="196" t="str">
        <f t="shared" si="95"/>
        <v/>
      </c>
      <c r="U632" s="197" t="str">
        <f t="shared" si="96"/>
        <v/>
      </c>
      <c r="V632" s="198" t="str">
        <f t="shared" si="93"/>
        <v/>
      </c>
      <c r="W632" s="339" t="str">
        <f t="shared" si="97"/>
        <v/>
      </c>
      <c r="X632" s="341" t="str">
        <f t="shared" si="98"/>
        <v/>
      </c>
      <c r="Y632" s="277"/>
      <c r="AR632" t="str">
        <f t="shared" si="99"/>
        <v/>
      </c>
      <c r="AS632" t="str">
        <f t="shared" si="100"/>
        <v/>
      </c>
    </row>
    <row r="633" spans="1:45">
      <c r="A633" s="294"/>
      <c r="B633" s="295"/>
      <c r="C633" s="296"/>
      <c r="D633" s="296"/>
      <c r="E633" s="296"/>
      <c r="F633" s="296"/>
      <c r="G633" s="297"/>
      <c r="H633" s="303"/>
      <c r="I633" s="298"/>
      <c r="J633" s="298"/>
      <c r="K633" s="299"/>
      <c r="L633" s="304"/>
      <c r="M633" s="300"/>
      <c r="N633" s="301"/>
      <c r="P633" s="193" t="str">
        <f>IF(R633 = "", "", COUNT(R$4:$R633))</f>
        <v/>
      </c>
      <c r="Q633" s="193" t="str">
        <f t="shared" si="91"/>
        <v/>
      </c>
      <c r="R633" s="194" t="str">
        <f t="shared" si="92"/>
        <v/>
      </c>
      <c r="S633" s="195" t="str">
        <f t="shared" si="94"/>
        <v/>
      </c>
      <c r="T633" s="196" t="str">
        <f t="shared" si="95"/>
        <v/>
      </c>
      <c r="U633" s="197" t="str">
        <f t="shared" si="96"/>
        <v/>
      </c>
      <c r="V633" s="198" t="str">
        <f t="shared" si="93"/>
        <v/>
      </c>
      <c r="W633" s="339" t="str">
        <f t="shared" si="97"/>
        <v/>
      </c>
      <c r="X633" s="341" t="str">
        <f t="shared" si="98"/>
        <v/>
      </c>
      <c r="Y633" s="277"/>
      <c r="AR633" t="str">
        <f t="shared" si="99"/>
        <v/>
      </c>
      <c r="AS633" t="str">
        <f t="shared" si="100"/>
        <v/>
      </c>
    </row>
    <row r="634" spans="1:45">
      <c r="A634" s="294"/>
      <c r="B634" s="295"/>
      <c r="C634" s="296"/>
      <c r="D634" s="296"/>
      <c r="E634" s="296"/>
      <c r="F634" s="296"/>
      <c r="G634" s="297"/>
      <c r="H634" s="303"/>
      <c r="I634" s="298"/>
      <c r="J634" s="298"/>
      <c r="K634" s="299"/>
      <c r="L634" s="304"/>
      <c r="M634" s="300"/>
      <c r="N634" s="301"/>
      <c r="P634" s="193" t="str">
        <f>IF(R634 = "", "", COUNT(R$4:$R634))</f>
        <v/>
      </c>
      <c r="Q634" s="193" t="str">
        <f t="shared" si="91"/>
        <v/>
      </c>
      <c r="R634" s="194" t="str">
        <f t="shared" si="92"/>
        <v/>
      </c>
      <c r="S634" s="195" t="str">
        <f t="shared" si="94"/>
        <v/>
      </c>
      <c r="T634" s="196" t="str">
        <f t="shared" si="95"/>
        <v/>
      </c>
      <c r="U634" s="197" t="str">
        <f t="shared" si="96"/>
        <v/>
      </c>
      <c r="V634" s="198" t="str">
        <f t="shared" si="93"/>
        <v/>
      </c>
      <c r="W634" s="339" t="str">
        <f t="shared" si="97"/>
        <v/>
      </c>
      <c r="X634" s="341" t="str">
        <f t="shared" si="98"/>
        <v/>
      </c>
      <c r="Y634" s="277"/>
      <c r="AR634" t="str">
        <f t="shared" si="99"/>
        <v/>
      </c>
      <c r="AS634" t="str">
        <f t="shared" si="100"/>
        <v/>
      </c>
    </row>
    <row r="635" spans="1:45">
      <c r="A635" s="294"/>
      <c r="B635" s="295"/>
      <c r="C635" s="296"/>
      <c r="D635" s="296"/>
      <c r="E635" s="296"/>
      <c r="F635" s="296"/>
      <c r="G635" s="297"/>
      <c r="H635" s="303"/>
      <c r="I635" s="298"/>
      <c r="J635" s="298"/>
      <c r="K635" s="299"/>
      <c r="L635" s="304"/>
      <c r="M635" s="300"/>
      <c r="N635" s="301"/>
      <c r="P635" s="193" t="str">
        <f>IF(R635 = "", "", COUNT(R$4:$R635))</f>
        <v/>
      </c>
      <c r="Q635" s="193" t="str">
        <f t="shared" si="91"/>
        <v/>
      </c>
      <c r="R635" s="194" t="str">
        <f t="shared" si="92"/>
        <v/>
      </c>
      <c r="S635" s="195" t="str">
        <f t="shared" si="94"/>
        <v/>
      </c>
      <c r="T635" s="196" t="str">
        <f t="shared" si="95"/>
        <v/>
      </c>
      <c r="U635" s="197" t="str">
        <f t="shared" si="96"/>
        <v/>
      </c>
      <c r="V635" s="198" t="str">
        <f t="shared" si="93"/>
        <v/>
      </c>
      <c r="W635" s="339" t="str">
        <f t="shared" si="97"/>
        <v/>
      </c>
      <c r="X635" s="341" t="str">
        <f t="shared" si="98"/>
        <v/>
      </c>
      <c r="Y635" s="277"/>
      <c r="AR635" t="str">
        <f t="shared" si="99"/>
        <v/>
      </c>
      <c r="AS635" t="str">
        <f t="shared" si="100"/>
        <v/>
      </c>
    </row>
    <row r="636" spans="1:45">
      <c r="A636" s="294"/>
      <c r="B636" s="295"/>
      <c r="C636" s="296"/>
      <c r="D636" s="296"/>
      <c r="E636" s="296"/>
      <c r="F636" s="296"/>
      <c r="G636" s="297"/>
      <c r="H636" s="303"/>
      <c r="I636" s="298"/>
      <c r="J636" s="298"/>
      <c r="K636" s="299"/>
      <c r="L636" s="304"/>
      <c r="M636" s="300"/>
      <c r="N636" s="301"/>
      <c r="P636" s="193" t="str">
        <f>IF(R636 = "", "", COUNT(R$4:$R636))</f>
        <v/>
      </c>
      <c r="Q636" s="193" t="str">
        <f t="shared" si="91"/>
        <v/>
      </c>
      <c r="R636" s="194" t="str">
        <f t="shared" si="92"/>
        <v/>
      </c>
      <c r="S636" s="195" t="str">
        <f t="shared" si="94"/>
        <v/>
      </c>
      <c r="T636" s="196" t="str">
        <f t="shared" si="95"/>
        <v/>
      </c>
      <c r="U636" s="197" t="str">
        <f t="shared" si="96"/>
        <v/>
      </c>
      <c r="V636" s="198" t="str">
        <f t="shared" si="93"/>
        <v/>
      </c>
      <c r="W636" s="339" t="str">
        <f t="shared" si="97"/>
        <v/>
      </c>
      <c r="X636" s="341" t="str">
        <f t="shared" si="98"/>
        <v/>
      </c>
      <c r="Y636" s="277"/>
      <c r="AR636" t="str">
        <f t="shared" si="99"/>
        <v/>
      </c>
      <c r="AS636" t="str">
        <f t="shared" si="100"/>
        <v/>
      </c>
    </row>
    <row r="637" spans="1:45">
      <c r="A637" s="294"/>
      <c r="B637" s="295"/>
      <c r="C637" s="296"/>
      <c r="D637" s="296"/>
      <c r="E637" s="296"/>
      <c r="F637" s="296"/>
      <c r="G637" s="297"/>
      <c r="H637" s="303"/>
      <c r="I637" s="298"/>
      <c r="J637" s="298"/>
      <c r="K637" s="299"/>
      <c r="L637" s="304"/>
      <c r="M637" s="300"/>
      <c r="N637" s="301"/>
      <c r="P637" s="193" t="str">
        <f>IF(R637 = "", "", COUNT(R$4:$R637))</f>
        <v/>
      </c>
      <c r="Q637" s="193" t="str">
        <f t="shared" si="91"/>
        <v/>
      </c>
      <c r="R637" s="194" t="str">
        <f t="shared" si="92"/>
        <v/>
      </c>
      <c r="S637" s="195" t="str">
        <f t="shared" si="94"/>
        <v/>
      </c>
      <c r="T637" s="196" t="str">
        <f t="shared" si="95"/>
        <v/>
      </c>
      <c r="U637" s="197" t="str">
        <f t="shared" si="96"/>
        <v/>
      </c>
      <c r="V637" s="198" t="str">
        <f t="shared" si="93"/>
        <v/>
      </c>
      <c r="W637" s="339" t="str">
        <f t="shared" si="97"/>
        <v/>
      </c>
      <c r="X637" s="341" t="str">
        <f t="shared" si="98"/>
        <v/>
      </c>
      <c r="Y637" s="277"/>
      <c r="AR637" t="str">
        <f t="shared" si="99"/>
        <v/>
      </c>
      <c r="AS637" t="str">
        <f t="shared" si="100"/>
        <v/>
      </c>
    </row>
    <row r="638" spans="1:45">
      <c r="A638" s="294"/>
      <c r="B638" s="295"/>
      <c r="C638" s="296"/>
      <c r="D638" s="296"/>
      <c r="E638" s="296"/>
      <c r="F638" s="296"/>
      <c r="G638" s="297"/>
      <c r="H638" s="303"/>
      <c r="I638" s="298"/>
      <c r="J638" s="298"/>
      <c r="K638" s="299"/>
      <c r="L638" s="304"/>
      <c r="M638" s="300"/>
      <c r="N638" s="301"/>
      <c r="P638" s="193" t="str">
        <f>IF(R638 = "", "", COUNT(R$4:$R638))</f>
        <v/>
      </c>
      <c r="Q638" s="193" t="str">
        <f t="shared" si="91"/>
        <v/>
      </c>
      <c r="R638" s="194" t="str">
        <f t="shared" si="92"/>
        <v/>
      </c>
      <c r="S638" s="195" t="str">
        <f t="shared" si="94"/>
        <v/>
      </c>
      <c r="T638" s="196" t="str">
        <f t="shared" si="95"/>
        <v/>
      </c>
      <c r="U638" s="197" t="str">
        <f t="shared" si="96"/>
        <v/>
      </c>
      <c r="V638" s="198" t="str">
        <f t="shared" si="93"/>
        <v/>
      </c>
      <c r="W638" s="339" t="str">
        <f t="shared" si="97"/>
        <v/>
      </c>
      <c r="X638" s="341" t="str">
        <f t="shared" si="98"/>
        <v/>
      </c>
      <c r="Y638" s="277"/>
      <c r="AR638" t="str">
        <f t="shared" si="99"/>
        <v/>
      </c>
      <c r="AS638" t="str">
        <f t="shared" si="100"/>
        <v/>
      </c>
    </row>
    <row r="639" spans="1:45">
      <c r="A639" s="294"/>
      <c r="B639" s="295"/>
      <c r="C639" s="296"/>
      <c r="D639" s="296"/>
      <c r="E639" s="296"/>
      <c r="F639" s="296"/>
      <c r="G639" s="297"/>
      <c r="H639" s="303"/>
      <c r="I639" s="298"/>
      <c r="J639" s="298"/>
      <c r="K639" s="299"/>
      <c r="L639" s="304"/>
      <c r="M639" s="300"/>
      <c r="N639" s="301"/>
      <c r="P639" s="193" t="str">
        <f>IF(R639 = "", "", COUNT(R$4:$R639))</f>
        <v/>
      </c>
      <c r="Q639" s="193" t="str">
        <f t="shared" si="91"/>
        <v/>
      </c>
      <c r="R639" s="194" t="str">
        <f t="shared" si="92"/>
        <v/>
      </c>
      <c r="S639" s="195" t="str">
        <f t="shared" si="94"/>
        <v/>
      </c>
      <c r="T639" s="196" t="str">
        <f t="shared" si="95"/>
        <v/>
      </c>
      <c r="U639" s="197" t="str">
        <f t="shared" si="96"/>
        <v/>
      </c>
      <c r="V639" s="198" t="str">
        <f t="shared" si="93"/>
        <v/>
      </c>
      <c r="W639" s="339" t="str">
        <f t="shared" si="97"/>
        <v/>
      </c>
      <c r="X639" s="341" t="str">
        <f t="shared" si="98"/>
        <v/>
      </c>
      <c r="Y639" s="277"/>
      <c r="AR639" t="str">
        <f t="shared" si="99"/>
        <v/>
      </c>
      <c r="AS639" t="str">
        <f t="shared" si="100"/>
        <v/>
      </c>
    </row>
    <row r="640" spans="1:45">
      <c r="A640" s="294"/>
      <c r="B640" s="295"/>
      <c r="C640" s="296"/>
      <c r="D640" s="296"/>
      <c r="E640" s="296"/>
      <c r="F640" s="296"/>
      <c r="G640" s="297"/>
      <c r="H640" s="303"/>
      <c r="I640" s="298"/>
      <c r="J640" s="298"/>
      <c r="K640" s="299"/>
      <c r="L640" s="304"/>
      <c r="M640" s="300"/>
      <c r="N640" s="301"/>
      <c r="P640" s="193" t="str">
        <f>IF(R640 = "", "", COUNT(R$4:$R640))</f>
        <v/>
      </c>
      <c r="Q640" s="193" t="str">
        <f t="shared" si="91"/>
        <v/>
      </c>
      <c r="R640" s="194" t="str">
        <f t="shared" si="92"/>
        <v/>
      </c>
      <c r="S640" s="195" t="str">
        <f t="shared" si="94"/>
        <v/>
      </c>
      <c r="T640" s="196" t="str">
        <f t="shared" si="95"/>
        <v/>
      </c>
      <c r="U640" s="197" t="str">
        <f t="shared" si="96"/>
        <v/>
      </c>
      <c r="V640" s="198" t="str">
        <f t="shared" si="93"/>
        <v/>
      </c>
      <c r="W640" s="339" t="str">
        <f t="shared" si="97"/>
        <v/>
      </c>
      <c r="X640" s="341" t="str">
        <f t="shared" si="98"/>
        <v/>
      </c>
      <c r="Y640" s="277"/>
      <c r="AR640" t="str">
        <f t="shared" si="99"/>
        <v/>
      </c>
      <c r="AS640" t="str">
        <f t="shared" si="100"/>
        <v/>
      </c>
    </row>
    <row r="641" spans="1:45">
      <c r="A641" s="294"/>
      <c r="B641" s="295"/>
      <c r="C641" s="296"/>
      <c r="D641" s="296"/>
      <c r="E641" s="296"/>
      <c r="F641" s="296"/>
      <c r="G641" s="297"/>
      <c r="H641" s="303"/>
      <c r="I641" s="298"/>
      <c r="J641" s="298"/>
      <c r="K641" s="299"/>
      <c r="L641" s="304"/>
      <c r="M641" s="300"/>
      <c r="N641" s="301"/>
      <c r="P641" s="193" t="str">
        <f>IF(R641 = "", "", COUNT(R$4:$R641))</f>
        <v/>
      </c>
      <c r="Q641" s="193" t="str">
        <f t="shared" si="91"/>
        <v/>
      </c>
      <c r="R641" s="194" t="str">
        <f t="shared" si="92"/>
        <v/>
      </c>
      <c r="S641" s="195" t="str">
        <f t="shared" si="94"/>
        <v/>
      </c>
      <c r="T641" s="196" t="str">
        <f t="shared" si="95"/>
        <v/>
      </c>
      <c r="U641" s="197" t="str">
        <f t="shared" si="96"/>
        <v/>
      </c>
      <c r="V641" s="198" t="str">
        <f t="shared" si="93"/>
        <v/>
      </c>
      <c r="W641" s="339" t="str">
        <f t="shared" si="97"/>
        <v/>
      </c>
      <c r="X641" s="341" t="str">
        <f t="shared" si="98"/>
        <v/>
      </c>
      <c r="Y641" s="277"/>
      <c r="AR641" t="str">
        <f t="shared" si="99"/>
        <v/>
      </c>
      <c r="AS641" t="str">
        <f t="shared" si="100"/>
        <v/>
      </c>
    </row>
    <row r="642" spans="1:45">
      <c r="A642" s="294"/>
      <c r="B642" s="295"/>
      <c r="C642" s="296"/>
      <c r="D642" s="296"/>
      <c r="E642" s="296"/>
      <c r="F642" s="296"/>
      <c r="G642" s="297"/>
      <c r="H642" s="303"/>
      <c r="I642" s="298"/>
      <c r="J642" s="298"/>
      <c r="K642" s="299"/>
      <c r="L642" s="304"/>
      <c r="M642" s="300"/>
      <c r="N642" s="301"/>
      <c r="P642" s="193" t="str">
        <f>IF(R642 = "", "", COUNT(R$4:$R642))</f>
        <v/>
      </c>
      <c r="Q642" s="193" t="str">
        <f t="shared" si="91"/>
        <v/>
      </c>
      <c r="R642" s="194" t="str">
        <f t="shared" si="92"/>
        <v/>
      </c>
      <c r="S642" s="195" t="str">
        <f t="shared" si="94"/>
        <v/>
      </c>
      <c r="T642" s="196" t="str">
        <f t="shared" si="95"/>
        <v/>
      </c>
      <c r="U642" s="197" t="str">
        <f t="shared" si="96"/>
        <v/>
      </c>
      <c r="V642" s="198" t="str">
        <f t="shared" si="93"/>
        <v/>
      </c>
      <c r="W642" s="339" t="str">
        <f t="shared" si="97"/>
        <v/>
      </c>
      <c r="X642" s="341" t="str">
        <f t="shared" si="98"/>
        <v/>
      </c>
      <c r="Y642" s="277"/>
      <c r="AR642" t="str">
        <f t="shared" si="99"/>
        <v/>
      </c>
      <c r="AS642" t="str">
        <f t="shared" si="100"/>
        <v/>
      </c>
    </row>
    <row r="643" spans="1:45">
      <c r="A643" s="294"/>
      <c r="B643" s="295"/>
      <c r="C643" s="296"/>
      <c r="D643" s="296"/>
      <c r="E643" s="296"/>
      <c r="F643" s="296"/>
      <c r="G643" s="297"/>
      <c r="H643" s="303"/>
      <c r="I643" s="298"/>
      <c r="J643" s="298"/>
      <c r="K643" s="299"/>
      <c r="L643" s="304"/>
      <c r="M643" s="300"/>
      <c r="N643" s="301"/>
      <c r="P643" s="193" t="str">
        <f>IF(R643 = "", "", COUNT(R$4:$R643))</f>
        <v/>
      </c>
      <c r="Q643" s="193" t="str">
        <f t="shared" si="91"/>
        <v/>
      </c>
      <c r="R643" s="194" t="str">
        <f t="shared" si="92"/>
        <v/>
      </c>
      <c r="S643" s="195" t="str">
        <f t="shared" si="94"/>
        <v/>
      </c>
      <c r="T643" s="196" t="str">
        <f t="shared" si="95"/>
        <v/>
      </c>
      <c r="U643" s="197" t="str">
        <f t="shared" si="96"/>
        <v/>
      </c>
      <c r="V643" s="198" t="str">
        <f t="shared" si="93"/>
        <v/>
      </c>
      <c r="W643" s="339" t="str">
        <f t="shared" si="97"/>
        <v/>
      </c>
      <c r="X643" s="341" t="str">
        <f t="shared" si="98"/>
        <v/>
      </c>
      <c r="Y643" s="277"/>
      <c r="AR643" t="str">
        <f t="shared" si="99"/>
        <v/>
      </c>
      <c r="AS643" t="str">
        <f t="shared" si="100"/>
        <v/>
      </c>
    </row>
    <row r="644" spans="1:45">
      <c r="A644" s="294"/>
      <c r="B644" s="295"/>
      <c r="C644" s="296"/>
      <c r="D644" s="296"/>
      <c r="E644" s="296"/>
      <c r="F644" s="296"/>
      <c r="G644" s="297"/>
      <c r="H644" s="303"/>
      <c r="I644" s="298"/>
      <c r="J644" s="298"/>
      <c r="K644" s="299"/>
      <c r="L644" s="304"/>
      <c r="M644" s="300"/>
      <c r="N644" s="301"/>
      <c r="P644" s="193" t="str">
        <f>IF(R644 = "", "", COUNT(R$4:$R644))</f>
        <v/>
      </c>
      <c r="Q644" s="193" t="str">
        <f t="shared" ref="Q644:Q707" si="101">IF(C644 &gt; 0, YEAR(B644), "")</f>
        <v/>
      </c>
      <c r="R644" s="194" t="str">
        <f t="shared" ref="R644:R707" si="102">IF(A644="", "", IF(G644="",1,IF(G644="O",1,IF(G644="C",8.4,IF(G644="B",8.4,IF(G644="A",76.8,IF(G644="K",76.8,"ERR")))))))</f>
        <v/>
      </c>
      <c r="S644" s="195" t="str">
        <f t="shared" si="94"/>
        <v/>
      </c>
      <c r="T644" s="196" t="str">
        <f t="shared" si="95"/>
        <v/>
      </c>
      <c r="U644" s="197" t="str">
        <f t="shared" si="96"/>
        <v/>
      </c>
      <c r="V644" s="198" t="str">
        <f t="shared" ref="V644:V707" si="103">IF(IF(M644&lt;&gt;"",G644,"")=0, "O", IF(M644&lt;&gt;"",G644,""))</f>
        <v/>
      </c>
      <c r="W644" s="339" t="str">
        <f t="shared" si="97"/>
        <v/>
      </c>
      <c r="X644" s="341" t="str">
        <f t="shared" si="98"/>
        <v/>
      </c>
      <c r="Y644" s="277"/>
      <c r="AR644" t="str">
        <f t="shared" si="99"/>
        <v/>
      </c>
      <c r="AS644" t="str">
        <f t="shared" si="100"/>
        <v/>
      </c>
    </row>
    <row r="645" spans="1:45">
      <c r="A645" s="294"/>
      <c r="B645" s="295"/>
      <c r="C645" s="296"/>
      <c r="D645" s="296"/>
      <c r="E645" s="296"/>
      <c r="F645" s="296"/>
      <c r="G645" s="297"/>
      <c r="H645" s="303"/>
      <c r="I645" s="298"/>
      <c r="J645" s="298"/>
      <c r="K645" s="299"/>
      <c r="L645" s="304"/>
      <c r="M645" s="300"/>
      <c r="N645" s="301"/>
      <c r="P645" s="193" t="str">
        <f>IF(R645 = "", "", COUNT(R$4:$R645))</f>
        <v/>
      </c>
      <c r="Q645" s="193" t="str">
        <f t="shared" si="101"/>
        <v/>
      </c>
      <c r="R645" s="194" t="str">
        <f t="shared" si="102"/>
        <v/>
      </c>
      <c r="S645" s="195" t="str">
        <f t="shared" ref="S645:S708" si="104">IF(L645&lt;&gt;"",R645,"")</f>
        <v/>
      </c>
      <c r="T645" s="196" t="str">
        <f t="shared" ref="T645:T708" si="105">IF(IF(L645&lt;&gt;"",G645,"")=0, "O", IF(L645&lt;&gt;"",G645,""))</f>
        <v/>
      </c>
      <c r="U645" s="197" t="str">
        <f t="shared" ref="U645:U708" si="106">IF(M645&lt;&gt;"",R645,"")</f>
        <v/>
      </c>
      <c r="V645" s="198" t="str">
        <f t="shared" si="103"/>
        <v/>
      </c>
      <c r="W645" s="339" t="str">
        <f t="shared" ref="W645:W708" si="107">IF(N645&lt;&gt;"",R645,"")</f>
        <v/>
      </c>
      <c r="X645" s="341" t="str">
        <f t="shared" ref="X645:X708" si="108">IF(IF(N645&lt;&gt;"",G645,"")=0, "O", IF(N645&lt;&gt;"",G645,""))</f>
        <v/>
      </c>
      <c r="Y645" s="277"/>
      <c r="AR645" t="str">
        <f t="shared" ref="AR645:AR708" si="109">IF(P645&gt;0, P645, "")</f>
        <v/>
      </c>
      <c r="AS645" t="str">
        <f t="shared" ref="AS645:AS708" si="110">IF(OR(L645="Y",M645="Y",N645="Y"),"Y","")</f>
        <v/>
      </c>
    </row>
    <row r="646" spans="1:45">
      <c r="A646" s="294"/>
      <c r="B646" s="295"/>
      <c r="C646" s="296"/>
      <c r="D646" s="296"/>
      <c r="E646" s="296"/>
      <c r="F646" s="296"/>
      <c r="G646" s="297"/>
      <c r="H646" s="303"/>
      <c r="I646" s="298"/>
      <c r="J646" s="298"/>
      <c r="K646" s="299"/>
      <c r="L646" s="304"/>
      <c r="M646" s="300"/>
      <c r="N646" s="301"/>
      <c r="P646" s="193" t="str">
        <f>IF(R646 = "", "", COUNT(R$4:$R646))</f>
        <v/>
      </c>
      <c r="Q646" s="193" t="str">
        <f t="shared" si="101"/>
        <v/>
      </c>
      <c r="R646" s="194" t="str">
        <f t="shared" si="102"/>
        <v/>
      </c>
      <c r="S646" s="195" t="str">
        <f t="shared" si="104"/>
        <v/>
      </c>
      <c r="T646" s="196" t="str">
        <f t="shared" si="105"/>
        <v/>
      </c>
      <c r="U646" s="197" t="str">
        <f t="shared" si="106"/>
        <v/>
      </c>
      <c r="V646" s="198" t="str">
        <f t="shared" si="103"/>
        <v/>
      </c>
      <c r="W646" s="339" t="str">
        <f t="shared" si="107"/>
        <v/>
      </c>
      <c r="X646" s="341" t="str">
        <f t="shared" si="108"/>
        <v/>
      </c>
      <c r="Y646" s="277"/>
      <c r="AR646" t="str">
        <f t="shared" si="109"/>
        <v/>
      </c>
      <c r="AS646" t="str">
        <f t="shared" si="110"/>
        <v/>
      </c>
    </row>
    <row r="647" spans="1:45">
      <c r="A647" s="294"/>
      <c r="B647" s="295"/>
      <c r="C647" s="296"/>
      <c r="D647" s="296"/>
      <c r="E647" s="296"/>
      <c r="F647" s="296"/>
      <c r="G647" s="297"/>
      <c r="H647" s="303"/>
      <c r="I647" s="298"/>
      <c r="J647" s="298"/>
      <c r="K647" s="299"/>
      <c r="L647" s="304"/>
      <c r="M647" s="300"/>
      <c r="N647" s="301"/>
      <c r="P647" s="193" t="str">
        <f>IF(R647 = "", "", COUNT(R$4:$R647))</f>
        <v/>
      </c>
      <c r="Q647" s="193" t="str">
        <f t="shared" si="101"/>
        <v/>
      </c>
      <c r="R647" s="194" t="str">
        <f t="shared" si="102"/>
        <v/>
      </c>
      <c r="S647" s="195" t="str">
        <f t="shared" si="104"/>
        <v/>
      </c>
      <c r="T647" s="196" t="str">
        <f t="shared" si="105"/>
        <v/>
      </c>
      <c r="U647" s="197" t="str">
        <f t="shared" si="106"/>
        <v/>
      </c>
      <c r="V647" s="198" t="str">
        <f t="shared" si="103"/>
        <v/>
      </c>
      <c r="W647" s="339" t="str">
        <f t="shared" si="107"/>
        <v/>
      </c>
      <c r="X647" s="341" t="str">
        <f t="shared" si="108"/>
        <v/>
      </c>
      <c r="Y647" s="277"/>
      <c r="AR647" t="str">
        <f t="shared" si="109"/>
        <v/>
      </c>
      <c r="AS647" t="str">
        <f t="shared" si="110"/>
        <v/>
      </c>
    </row>
    <row r="648" spans="1:45">
      <c r="A648" s="294"/>
      <c r="B648" s="295"/>
      <c r="C648" s="296"/>
      <c r="D648" s="296"/>
      <c r="E648" s="296"/>
      <c r="F648" s="296"/>
      <c r="G648" s="297"/>
      <c r="H648" s="303"/>
      <c r="I648" s="298"/>
      <c r="J648" s="298"/>
      <c r="K648" s="299"/>
      <c r="L648" s="304"/>
      <c r="M648" s="300"/>
      <c r="N648" s="301"/>
      <c r="P648" s="193" t="str">
        <f>IF(R648 = "", "", COUNT(R$4:$R648))</f>
        <v/>
      </c>
      <c r="Q648" s="193" t="str">
        <f t="shared" si="101"/>
        <v/>
      </c>
      <c r="R648" s="194" t="str">
        <f t="shared" si="102"/>
        <v/>
      </c>
      <c r="S648" s="195" t="str">
        <f t="shared" si="104"/>
        <v/>
      </c>
      <c r="T648" s="196" t="str">
        <f t="shared" si="105"/>
        <v/>
      </c>
      <c r="U648" s="197" t="str">
        <f t="shared" si="106"/>
        <v/>
      </c>
      <c r="V648" s="198" t="str">
        <f t="shared" si="103"/>
        <v/>
      </c>
      <c r="W648" s="339" t="str">
        <f t="shared" si="107"/>
        <v/>
      </c>
      <c r="X648" s="341" t="str">
        <f t="shared" si="108"/>
        <v/>
      </c>
      <c r="Y648" s="277"/>
      <c r="AR648" t="str">
        <f t="shared" si="109"/>
        <v/>
      </c>
      <c r="AS648" t="str">
        <f t="shared" si="110"/>
        <v/>
      </c>
    </row>
    <row r="649" spans="1:45">
      <c r="A649" s="294"/>
      <c r="B649" s="295"/>
      <c r="C649" s="296"/>
      <c r="D649" s="296"/>
      <c r="E649" s="296"/>
      <c r="F649" s="296"/>
      <c r="G649" s="297"/>
      <c r="H649" s="303"/>
      <c r="I649" s="298"/>
      <c r="J649" s="298"/>
      <c r="K649" s="299"/>
      <c r="L649" s="304"/>
      <c r="M649" s="300"/>
      <c r="N649" s="301"/>
      <c r="P649" s="193" t="str">
        <f>IF(R649 = "", "", COUNT(R$4:$R649))</f>
        <v/>
      </c>
      <c r="Q649" s="193" t="str">
        <f t="shared" si="101"/>
        <v/>
      </c>
      <c r="R649" s="194" t="str">
        <f t="shared" si="102"/>
        <v/>
      </c>
      <c r="S649" s="195" t="str">
        <f t="shared" si="104"/>
        <v/>
      </c>
      <c r="T649" s="196" t="str">
        <f t="shared" si="105"/>
        <v/>
      </c>
      <c r="U649" s="197" t="str">
        <f t="shared" si="106"/>
        <v/>
      </c>
      <c r="V649" s="198" t="str">
        <f t="shared" si="103"/>
        <v/>
      </c>
      <c r="W649" s="339" t="str">
        <f t="shared" si="107"/>
        <v/>
      </c>
      <c r="X649" s="341" t="str">
        <f t="shared" si="108"/>
        <v/>
      </c>
      <c r="Y649" s="277"/>
      <c r="AR649" t="str">
        <f t="shared" si="109"/>
        <v/>
      </c>
      <c r="AS649" t="str">
        <f t="shared" si="110"/>
        <v/>
      </c>
    </row>
    <row r="650" spans="1:45">
      <c r="A650" s="294"/>
      <c r="B650" s="295"/>
      <c r="C650" s="296"/>
      <c r="D650" s="296"/>
      <c r="E650" s="296"/>
      <c r="F650" s="296"/>
      <c r="G650" s="297"/>
      <c r="H650" s="303"/>
      <c r="I650" s="298"/>
      <c r="J650" s="298"/>
      <c r="K650" s="299"/>
      <c r="L650" s="304"/>
      <c r="M650" s="300"/>
      <c r="N650" s="301"/>
      <c r="P650" s="193" t="str">
        <f>IF(R650 = "", "", COUNT(R$4:$R650))</f>
        <v/>
      </c>
      <c r="Q650" s="193" t="str">
        <f t="shared" si="101"/>
        <v/>
      </c>
      <c r="R650" s="194" t="str">
        <f t="shared" si="102"/>
        <v/>
      </c>
      <c r="S650" s="195" t="str">
        <f t="shared" si="104"/>
        <v/>
      </c>
      <c r="T650" s="196" t="str">
        <f t="shared" si="105"/>
        <v/>
      </c>
      <c r="U650" s="197" t="str">
        <f t="shared" si="106"/>
        <v/>
      </c>
      <c r="V650" s="198" t="str">
        <f t="shared" si="103"/>
        <v/>
      </c>
      <c r="W650" s="339" t="str">
        <f t="shared" si="107"/>
        <v/>
      </c>
      <c r="X650" s="341" t="str">
        <f t="shared" si="108"/>
        <v/>
      </c>
      <c r="Y650" s="277"/>
      <c r="AR650" t="str">
        <f t="shared" si="109"/>
        <v/>
      </c>
      <c r="AS650" t="str">
        <f t="shared" si="110"/>
        <v/>
      </c>
    </row>
    <row r="651" spans="1:45">
      <c r="A651" s="294"/>
      <c r="B651" s="295"/>
      <c r="C651" s="296"/>
      <c r="D651" s="296"/>
      <c r="E651" s="296"/>
      <c r="F651" s="296"/>
      <c r="G651" s="297"/>
      <c r="H651" s="303"/>
      <c r="I651" s="298"/>
      <c r="J651" s="298"/>
      <c r="K651" s="299"/>
      <c r="L651" s="304"/>
      <c r="M651" s="300"/>
      <c r="N651" s="301"/>
      <c r="P651" s="193" t="str">
        <f>IF(R651 = "", "", COUNT(R$4:$R651))</f>
        <v/>
      </c>
      <c r="Q651" s="193" t="str">
        <f t="shared" si="101"/>
        <v/>
      </c>
      <c r="R651" s="194" t="str">
        <f t="shared" si="102"/>
        <v/>
      </c>
      <c r="S651" s="195" t="str">
        <f t="shared" si="104"/>
        <v/>
      </c>
      <c r="T651" s="196" t="str">
        <f t="shared" si="105"/>
        <v/>
      </c>
      <c r="U651" s="197" t="str">
        <f t="shared" si="106"/>
        <v/>
      </c>
      <c r="V651" s="198" t="str">
        <f t="shared" si="103"/>
        <v/>
      </c>
      <c r="W651" s="339" t="str">
        <f t="shared" si="107"/>
        <v/>
      </c>
      <c r="X651" s="341" t="str">
        <f t="shared" si="108"/>
        <v/>
      </c>
      <c r="Y651" s="277"/>
      <c r="AR651" t="str">
        <f t="shared" si="109"/>
        <v/>
      </c>
      <c r="AS651" t="str">
        <f t="shared" si="110"/>
        <v/>
      </c>
    </row>
    <row r="652" spans="1:45">
      <c r="A652" s="294"/>
      <c r="B652" s="295"/>
      <c r="C652" s="296"/>
      <c r="D652" s="296"/>
      <c r="E652" s="296"/>
      <c r="F652" s="296"/>
      <c r="G652" s="297"/>
      <c r="H652" s="303"/>
      <c r="I652" s="298"/>
      <c r="J652" s="298"/>
      <c r="K652" s="299"/>
      <c r="L652" s="304"/>
      <c r="M652" s="300"/>
      <c r="N652" s="301"/>
      <c r="P652" s="193" t="str">
        <f>IF(R652 = "", "", COUNT(R$4:$R652))</f>
        <v/>
      </c>
      <c r="Q652" s="193" t="str">
        <f t="shared" si="101"/>
        <v/>
      </c>
      <c r="R652" s="194" t="str">
        <f t="shared" si="102"/>
        <v/>
      </c>
      <c r="S652" s="195" t="str">
        <f t="shared" si="104"/>
        <v/>
      </c>
      <c r="T652" s="196" t="str">
        <f t="shared" si="105"/>
        <v/>
      </c>
      <c r="U652" s="197" t="str">
        <f t="shared" si="106"/>
        <v/>
      </c>
      <c r="V652" s="198" t="str">
        <f t="shared" si="103"/>
        <v/>
      </c>
      <c r="W652" s="339" t="str">
        <f t="shared" si="107"/>
        <v/>
      </c>
      <c r="X652" s="341" t="str">
        <f t="shared" si="108"/>
        <v/>
      </c>
      <c r="Y652" s="277"/>
      <c r="AR652" t="str">
        <f t="shared" si="109"/>
        <v/>
      </c>
      <c r="AS652" t="str">
        <f t="shared" si="110"/>
        <v/>
      </c>
    </row>
    <row r="653" spans="1:45">
      <c r="A653" s="294"/>
      <c r="B653" s="295"/>
      <c r="C653" s="296"/>
      <c r="D653" s="296"/>
      <c r="E653" s="296"/>
      <c r="F653" s="296"/>
      <c r="G653" s="297"/>
      <c r="H653" s="303"/>
      <c r="I653" s="298"/>
      <c r="J653" s="298"/>
      <c r="K653" s="299"/>
      <c r="L653" s="304"/>
      <c r="M653" s="300"/>
      <c r="N653" s="301"/>
      <c r="P653" s="193" t="str">
        <f>IF(R653 = "", "", COUNT(R$4:$R653))</f>
        <v/>
      </c>
      <c r="Q653" s="193" t="str">
        <f t="shared" si="101"/>
        <v/>
      </c>
      <c r="R653" s="194" t="str">
        <f t="shared" si="102"/>
        <v/>
      </c>
      <c r="S653" s="195" t="str">
        <f t="shared" si="104"/>
        <v/>
      </c>
      <c r="T653" s="196" t="str">
        <f t="shared" si="105"/>
        <v/>
      </c>
      <c r="U653" s="197" t="str">
        <f t="shared" si="106"/>
        <v/>
      </c>
      <c r="V653" s="198" t="str">
        <f t="shared" si="103"/>
        <v/>
      </c>
      <c r="W653" s="339" t="str">
        <f t="shared" si="107"/>
        <v/>
      </c>
      <c r="X653" s="341" t="str">
        <f t="shared" si="108"/>
        <v/>
      </c>
      <c r="Y653" s="277"/>
      <c r="AR653" t="str">
        <f t="shared" si="109"/>
        <v/>
      </c>
      <c r="AS653" t="str">
        <f t="shared" si="110"/>
        <v/>
      </c>
    </row>
    <row r="654" spans="1:45">
      <c r="A654" s="294"/>
      <c r="B654" s="295"/>
      <c r="C654" s="296"/>
      <c r="D654" s="296"/>
      <c r="E654" s="296"/>
      <c r="F654" s="296"/>
      <c r="G654" s="297"/>
      <c r="H654" s="303"/>
      <c r="I654" s="298"/>
      <c r="J654" s="298"/>
      <c r="K654" s="299"/>
      <c r="L654" s="304"/>
      <c r="M654" s="300"/>
      <c r="N654" s="301"/>
      <c r="P654" s="193" t="str">
        <f>IF(R654 = "", "", COUNT(R$4:$R654))</f>
        <v/>
      </c>
      <c r="Q654" s="193" t="str">
        <f t="shared" si="101"/>
        <v/>
      </c>
      <c r="R654" s="194" t="str">
        <f t="shared" si="102"/>
        <v/>
      </c>
      <c r="S654" s="195" t="str">
        <f t="shared" si="104"/>
        <v/>
      </c>
      <c r="T654" s="196" t="str">
        <f t="shared" si="105"/>
        <v/>
      </c>
      <c r="U654" s="197" t="str">
        <f t="shared" si="106"/>
        <v/>
      </c>
      <c r="V654" s="198" t="str">
        <f t="shared" si="103"/>
        <v/>
      </c>
      <c r="W654" s="339" t="str">
        <f t="shared" si="107"/>
        <v/>
      </c>
      <c r="X654" s="341" t="str">
        <f t="shared" si="108"/>
        <v/>
      </c>
      <c r="Y654" s="277"/>
      <c r="AR654" t="str">
        <f t="shared" si="109"/>
        <v/>
      </c>
      <c r="AS654" t="str">
        <f t="shared" si="110"/>
        <v/>
      </c>
    </row>
    <row r="655" spans="1:45">
      <c r="A655" s="294"/>
      <c r="B655" s="295"/>
      <c r="C655" s="296"/>
      <c r="D655" s="296"/>
      <c r="E655" s="296"/>
      <c r="F655" s="296"/>
      <c r="G655" s="297"/>
      <c r="H655" s="303"/>
      <c r="I655" s="298"/>
      <c r="J655" s="298"/>
      <c r="K655" s="299"/>
      <c r="L655" s="304"/>
      <c r="M655" s="300"/>
      <c r="N655" s="301"/>
      <c r="P655" s="193" t="str">
        <f>IF(R655 = "", "", COUNT(R$4:$R655))</f>
        <v/>
      </c>
      <c r="Q655" s="193" t="str">
        <f t="shared" si="101"/>
        <v/>
      </c>
      <c r="R655" s="194" t="str">
        <f t="shared" si="102"/>
        <v/>
      </c>
      <c r="S655" s="195" t="str">
        <f t="shared" si="104"/>
        <v/>
      </c>
      <c r="T655" s="196" t="str">
        <f t="shared" si="105"/>
        <v/>
      </c>
      <c r="U655" s="197" t="str">
        <f t="shared" si="106"/>
        <v/>
      </c>
      <c r="V655" s="198" t="str">
        <f t="shared" si="103"/>
        <v/>
      </c>
      <c r="W655" s="339" t="str">
        <f t="shared" si="107"/>
        <v/>
      </c>
      <c r="X655" s="341" t="str">
        <f t="shared" si="108"/>
        <v/>
      </c>
      <c r="Y655" s="277"/>
      <c r="AR655" t="str">
        <f t="shared" si="109"/>
        <v/>
      </c>
      <c r="AS655" t="str">
        <f t="shared" si="110"/>
        <v/>
      </c>
    </row>
    <row r="656" spans="1:45">
      <c r="A656" s="294"/>
      <c r="B656" s="295"/>
      <c r="C656" s="296"/>
      <c r="D656" s="296"/>
      <c r="E656" s="296"/>
      <c r="F656" s="296"/>
      <c r="G656" s="297"/>
      <c r="H656" s="303"/>
      <c r="I656" s="298"/>
      <c r="J656" s="298"/>
      <c r="K656" s="299"/>
      <c r="L656" s="304"/>
      <c r="M656" s="300"/>
      <c r="N656" s="301"/>
      <c r="P656" s="193" t="str">
        <f>IF(R656 = "", "", COUNT(R$4:$R656))</f>
        <v/>
      </c>
      <c r="Q656" s="193" t="str">
        <f t="shared" si="101"/>
        <v/>
      </c>
      <c r="R656" s="194" t="str">
        <f t="shared" si="102"/>
        <v/>
      </c>
      <c r="S656" s="195" t="str">
        <f t="shared" si="104"/>
        <v/>
      </c>
      <c r="T656" s="196" t="str">
        <f t="shared" si="105"/>
        <v/>
      </c>
      <c r="U656" s="197" t="str">
        <f t="shared" si="106"/>
        <v/>
      </c>
      <c r="V656" s="198" t="str">
        <f t="shared" si="103"/>
        <v/>
      </c>
      <c r="W656" s="339" t="str">
        <f t="shared" si="107"/>
        <v/>
      </c>
      <c r="X656" s="341" t="str">
        <f t="shared" si="108"/>
        <v/>
      </c>
      <c r="Y656" s="277"/>
      <c r="AR656" t="str">
        <f t="shared" si="109"/>
        <v/>
      </c>
      <c r="AS656" t="str">
        <f t="shared" si="110"/>
        <v/>
      </c>
    </row>
    <row r="657" spans="1:45">
      <c r="A657" s="294"/>
      <c r="B657" s="295"/>
      <c r="C657" s="296"/>
      <c r="D657" s="296"/>
      <c r="E657" s="296"/>
      <c r="F657" s="296"/>
      <c r="G657" s="297"/>
      <c r="H657" s="303"/>
      <c r="I657" s="298"/>
      <c r="J657" s="298"/>
      <c r="K657" s="299"/>
      <c r="L657" s="304"/>
      <c r="M657" s="300"/>
      <c r="N657" s="301"/>
      <c r="P657" s="193" t="str">
        <f>IF(R657 = "", "", COUNT(R$4:$R657))</f>
        <v/>
      </c>
      <c r="Q657" s="193" t="str">
        <f t="shared" si="101"/>
        <v/>
      </c>
      <c r="R657" s="194" t="str">
        <f t="shared" si="102"/>
        <v/>
      </c>
      <c r="S657" s="195" t="str">
        <f t="shared" si="104"/>
        <v/>
      </c>
      <c r="T657" s="196" t="str">
        <f t="shared" si="105"/>
        <v/>
      </c>
      <c r="U657" s="197" t="str">
        <f t="shared" si="106"/>
        <v/>
      </c>
      <c r="V657" s="198" t="str">
        <f t="shared" si="103"/>
        <v/>
      </c>
      <c r="W657" s="339" t="str">
        <f t="shared" si="107"/>
        <v/>
      </c>
      <c r="X657" s="341" t="str">
        <f t="shared" si="108"/>
        <v/>
      </c>
      <c r="Y657" s="277"/>
      <c r="AR657" t="str">
        <f t="shared" si="109"/>
        <v/>
      </c>
      <c r="AS657" t="str">
        <f t="shared" si="110"/>
        <v/>
      </c>
    </row>
    <row r="658" spans="1:45">
      <c r="A658" s="294"/>
      <c r="B658" s="295"/>
      <c r="C658" s="296"/>
      <c r="D658" s="296"/>
      <c r="E658" s="296"/>
      <c r="F658" s="296"/>
      <c r="G658" s="297"/>
      <c r="H658" s="303"/>
      <c r="I658" s="298"/>
      <c r="J658" s="298"/>
      <c r="K658" s="299"/>
      <c r="L658" s="304"/>
      <c r="M658" s="300"/>
      <c r="N658" s="301"/>
      <c r="P658" s="193" t="str">
        <f>IF(R658 = "", "", COUNT(R$4:$R658))</f>
        <v/>
      </c>
      <c r="Q658" s="193" t="str">
        <f t="shared" si="101"/>
        <v/>
      </c>
      <c r="R658" s="194" t="str">
        <f t="shared" si="102"/>
        <v/>
      </c>
      <c r="S658" s="195" t="str">
        <f t="shared" si="104"/>
        <v/>
      </c>
      <c r="T658" s="196" t="str">
        <f t="shared" si="105"/>
        <v/>
      </c>
      <c r="U658" s="197" t="str">
        <f t="shared" si="106"/>
        <v/>
      </c>
      <c r="V658" s="198" t="str">
        <f t="shared" si="103"/>
        <v/>
      </c>
      <c r="W658" s="339" t="str">
        <f t="shared" si="107"/>
        <v/>
      </c>
      <c r="X658" s="341" t="str">
        <f t="shared" si="108"/>
        <v/>
      </c>
      <c r="Y658" s="277"/>
      <c r="AR658" t="str">
        <f t="shared" si="109"/>
        <v/>
      </c>
      <c r="AS658" t="str">
        <f t="shared" si="110"/>
        <v/>
      </c>
    </row>
    <row r="659" spans="1:45">
      <c r="A659" s="294"/>
      <c r="B659" s="295"/>
      <c r="C659" s="296"/>
      <c r="D659" s="296"/>
      <c r="E659" s="296"/>
      <c r="F659" s="296"/>
      <c r="G659" s="297"/>
      <c r="H659" s="303"/>
      <c r="I659" s="298"/>
      <c r="J659" s="298"/>
      <c r="K659" s="299"/>
      <c r="L659" s="304"/>
      <c r="M659" s="300"/>
      <c r="N659" s="301"/>
      <c r="P659" s="193" t="str">
        <f>IF(R659 = "", "", COUNT(R$4:$R659))</f>
        <v/>
      </c>
      <c r="Q659" s="193" t="str">
        <f t="shared" si="101"/>
        <v/>
      </c>
      <c r="R659" s="194" t="str">
        <f t="shared" si="102"/>
        <v/>
      </c>
      <c r="S659" s="195" t="str">
        <f t="shared" si="104"/>
        <v/>
      </c>
      <c r="T659" s="196" t="str">
        <f t="shared" si="105"/>
        <v/>
      </c>
      <c r="U659" s="197" t="str">
        <f t="shared" si="106"/>
        <v/>
      </c>
      <c r="V659" s="198" t="str">
        <f t="shared" si="103"/>
        <v/>
      </c>
      <c r="W659" s="339" t="str">
        <f t="shared" si="107"/>
        <v/>
      </c>
      <c r="X659" s="341" t="str">
        <f t="shared" si="108"/>
        <v/>
      </c>
      <c r="Y659" s="277"/>
      <c r="AR659" t="str">
        <f t="shared" si="109"/>
        <v/>
      </c>
      <c r="AS659" t="str">
        <f t="shared" si="110"/>
        <v/>
      </c>
    </row>
    <row r="660" spans="1:45">
      <c r="A660" s="294"/>
      <c r="B660" s="295"/>
      <c r="C660" s="296"/>
      <c r="D660" s="296"/>
      <c r="E660" s="296"/>
      <c r="F660" s="296"/>
      <c r="G660" s="297"/>
      <c r="H660" s="303"/>
      <c r="I660" s="298"/>
      <c r="J660" s="298"/>
      <c r="K660" s="299"/>
      <c r="L660" s="304"/>
      <c r="M660" s="300"/>
      <c r="N660" s="301"/>
      <c r="P660" s="193" t="str">
        <f>IF(R660 = "", "", COUNT(R$4:$R660))</f>
        <v/>
      </c>
      <c r="Q660" s="193" t="str">
        <f t="shared" si="101"/>
        <v/>
      </c>
      <c r="R660" s="194" t="str">
        <f t="shared" si="102"/>
        <v/>
      </c>
      <c r="S660" s="195" t="str">
        <f t="shared" si="104"/>
        <v/>
      </c>
      <c r="T660" s="196" t="str">
        <f t="shared" si="105"/>
        <v/>
      </c>
      <c r="U660" s="197" t="str">
        <f t="shared" si="106"/>
        <v/>
      </c>
      <c r="V660" s="198" t="str">
        <f t="shared" si="103"/>
        <v/>
      </c>
      <c r="W660" s="339" t="str">
        <f t="shared" si="107"/>
        <v/>
      </c>
      <c r="X660" s="341" t="str">
        <f t="shared" si="108"/>
        <v/>
      </c>
      <c r="Y660" s="277"/>
      <c r="AR660" t="str">
        <f t="shared" si="109"/>
        <v/>
      </c>
      <c r="AS660" t="str">
        <f t="shared" si="110"/>
        <v/>
      </c>
    </row>
    <row r="661" spans="1:45">
      <c r="A661" s="294"/>
      <c r="B661" s="295"/>
      <c r="C661" s="296"/>
      <c r="D661" s="296"/>
      <c r="E661" s="296"/>
      <c r="F661" s="296"/>
      <c r="G661" s="297"/>
      <c r="H661" s="303"/>
      <c r="I661" s="298"/>
      <c r="J661" s="298"/>
      <c r="K661" s="299"/>
      <c r="L661" s="304"/>
      <c r="M661" s="300"/>
      <c r="N661" s="301"/>
      <c r="P661" s="193" t="str">
        <f>IF(R661 = "", "", COUNT(R$4:$R661))</f>
        <v/>
      </c>
      <c r="Q661" s="193" t="str">
        <f t="shared" si="101"/>
        <v/>
      </c>
      <c r="R661" s="194" t="str">
        <f t="shared" si="102"/>
        <v/>
      </c>
      <c r="S661" s="195" t="str">
        <f t="shared" si="104"/>
        <v/>
      </c>
      <c r="T661" s="196" t="str">
        <f t="shared" si="105"/>
        <v/>
      </c>
      <c r="U661" s="197" t="str">
        <f t="shared" si="106"/>
        <v/>
      </c>
      <c r="V661" s="198" t="str">
        <f t="shared" si="103"/>
        <v/>
      </c>
      <c r="W661" s="339" t="str">
        <f t="shared" si="107"/>
        <v/>
      </c>
      <c r="X661" s="341" t="str">
        <f t="shared" si="108"/>
        <v/>
      </c>
      <c r="Y661" s="277"/>
      <c r="AR661" t="str">
        <f t="shared" si="109"/>
        <v/>
      </c>
      <c r="AS661" t="str">
        <f t="shared" si="110"/>
        <v/>
      </c>
    </row>
    <row r="662" spans="1:45">
      <c r="A662" s="294"/>
      <c r="B662" s="295"/>
      <c r="C662" s="296"/>
      <c r="D662" s="296"/>
      <c r="E662" s="296"/>
      <c r="F662" s="296"/>
      <c r="G662" s="297"/>
      <c r="H662" s="303"/>
      <c r="I662" s="298"/>
      <c r="J662" s="298"/>
      <c r="K662" s="299"/>
      <c r="L662" s="304"/>
      <c r="M662" s="300"/>
      <c r="N662" s="301"/>
      <c r="P662" s="193" t="str">
        <f>IF(R662 = "", "", COUNT(R$4:$R662))</f>
        <v/>
      </c>
      <c r="Q662" s="193" t="str">
        <f t="shared" si="101"/>
        <v/>
      </c>
      <c r="R662" s="194" t="str">
        <f t="shared" si="102"/>
        <v/>
      </c>
      <c r="S662" s="195" t="str">
        <f t="shared" si="104"/>
        <v/>
      </c>
      <c r="T662" s="196" t="str">
        <f t="shared" si="105"/>
        <v/>
      </c>
      <c r="U662" s="197" t="str">
        <f t="shared" si="106"/>
        <v/>
      </c>
      <c r="V662" s="198" t="str">
        <f t="shared" si="103"/>
        <v/>
      </c>
      <c r="W662" s="339" t="str">
        <f t="shared" si="107"/>
        <v/>
      </c>
      <c r="X662" s="341" t="str">
        <f t="shared" si="108"/>
        <v/>
      </c>
      <c r="Y662" s="277"/>
      <c r="AR662" t="str">
        <f t="shared" si="109"/>
        <v/>
      </c>
      <c r="AS662" t="str">
        <f t="shared" si="110"/>
        <v/>
      </c>
    </row>
    <row r="663" spans="1:45">
      <c r="A663" s="294"/>
      <c r="B663" s="295"/>
      <c r="C663" s="296"/>
      <c r="D663" s="296"/>
      <c r="E663" s="296"/>
      <c r="F663" s="296"/>
      <c r="G663" s="297"/>
      <c r="H663" s="303"/>
      <c r="I663" s="298"/>
      <c r="J663" s="298"/>
      <c r="K663" s="299"/>
      <c r="L663" s="304"/>
      <c r="M663" s="300"/>
      <c r="N663" s="301"/>
      <c r="P663" s="193" t="str">
        <f>IF(R663 = "", "", COUNT(R$4:$R663))</f>
        <v/>
      </c>
      <c r="Q663" s="193" t="str">
        <f t="shared" si="101"/>
        <v/>
      </c>
      <c r="R663" s="194" t="str">
        <f t="shared" si="102"/>
        <v/>
      </c>
      <c r="S663" s="195" t="str">
        <f t="shared" si="104"/>
        <v/>
      </c>
      <c r="T663" s="196" t="str">
        <f t="shared" si="105"/>
        <v/>
      </c>
      <c r="U663" s="197" t="str">
        <f t="shared" si="106"/>
        <v/>
      </c>
      <c r="V663" s="198" t="str">
        <f t="shared" si="103"/>
        <v/>
      </c>
      <c r="W663" s="339" t="str">
        <f t="shared" si="107"/>
        <v/>
      </c>
      <c r="X663" s="341" t="str">
        <f t="shared" si="108"/>
        <v/>
      </c>
      <c r="Y663" s="277"/>
      <c r="AR663" t="str">
        <f t="shared" si="109"/>
        <v/>
      </c>
      <c r="AS663" t="str">
        <f t="shared" si="110"/>
        <v/>
      </c>
    </row>
    <row r="664" spans="1:45">
      <c r="A664" s="294"/>
      <c r="B664" s="295"/>
      <c r="C664" s="296"/>
      <c r="D664" s="296"/>
      <c r="E664" s="296"/>
      <c r="F664" s="296"/>
      <c r="G664" s="297"/>
      <c r="H664" s="303"/>
      <c r="I664" s="298"/>
      <c r="J664" s="298"/>
      <c r="K664" s="299"/>
      <c r="L664" s="304"/>
      <c r="M664" s="300"/>
      <c r="N664" s="301"/>
      <c r="P664" s="193" t="str">
        <f>IF(R664 = "", "", COUNT(R$4:$R664))</f>
        <v/>
      </c>
      <c r="Q664" s="193" t="str">
        <f t="shared" si="101"/>
        <v/>
      </c>
      <c r="R664" s="194" t="str">
        <f t="shared" si="102"/>
        <v/>
      </c>
      <c r="S664" s="195" t="str">
        <f t="shared" si="104"/>
        <v/>
      </c>
      <c r="T664" s="196" t="str">
        <f t="shared" si="105"/>
        <v/>
      </c>
      <c r="U664" s="197" t="str">
        <f t="shared" si="106"/>
        <v/>
      </c>
      <c r="V664" s="198" t="str">
        <f t="shared" si="103"/>
        <v/>
      </c>
      <c r="W664" s="339" t="str">
        <f t="shared" si="107"/>
        <v/>
      </c>
      <c r="X664" s="341" t="str">
        <f t="shared" si="108"/>
        <v/>
      </c>
      <c r="Y664" s="277"/>
      <c r="AR664" t="str">
        <f t="shared" si="109"/>
        <v/>
      </c>
      <c r="AS664" t="str">
        <f t="shared" si="110"/>
        <v/>
      </c>
    </row>
    <row r="665" spans="1:45">
      <c r="A665" s="294"/>
      <c r="B665" s="295"/>
      <c r="C665" s="296"/>
      <c r="D665" s="296"/>
      <c r="E665" s="296"/>
      <c r="F665" s="296"/>
      <c r="G665" s="297"/>
      <c r="H665" s="303"/>
      <c r="I665" s="298"/>
      <c r="J665" s="298"/>
      <c r="K665" s="299"/>
      <c r="L665" s="304"/>
      <c r="M665" s="300"/>
      <c r="N665" s="301"/>
      <c r="P665" s="193" t="str">
        <f>IF(R665 = "", "", COUNT(R$4:$R665))</f>
        <v/>
      </c>
      <c r="Q665" s="193" t="str">
        <f t="shared" si="101"/>
        <v/>
      </c>
      <c r="R665" s="194" t="str">
        <f t="shared" si="102"/>
        <v/>
      </c>
      <c r="S665" s="195" t="str">
        <f t="shared" si="104"/>
        <v/>
      </c>
      <c r="T665" s="196" t="str">
        <f t="shared" si="105"/>
        <v/>
      </c>
      <c r="U665" s="197" t="str">
        <f t="shared" si="106"/>
        <v/>
      </c>
      <c r="V665" s="198" t="str">
        <f t="shared" si="103"/>
        <v/>
      </c>
      <c r="W665" s="339" t="str">
        <f t="shared" si="107"/>
        <v/>
      </c>
      <c r="X665" s="341" t="str">
        <f t="shared" si="108"/>
        <v/>
      </c>
      <c r="Y665" s="277"/>
      <c r="AR665" t="str">
        <f t="shared" si="109"/>
        <v/>
      </c>
      <c r="AS665" t="str">
        <f t="shared" si="110"/>
        <v/>
      </c>
    </row>
    <row r="666" spans="1:45">
      <c r="A666" s="294"/>
      <c r="B666" s="295"/>
      <c r="C666" s="296"/>
      <c r="D666" s="296"/>
      <c r="E666" s="296"/>
      <c r="F666" s="296"/>
      <c r="G666" s="297"/>
      <c r="H666" s="303"/>
      <c r="I666" s="298"/>
      <c r="J666" s="298"/>
      <c r="K666" s="299"/>
      <c r="L666" s="304"/>
      <c r="M666" s="300"/>
      <c r="N666" s="301"/>
      <c r="P666" s="193" t="str">
        <f>IF(R666 = "", "", COUNT(R$4:$R666))</f>
        <v/>
      </c>
      <c r="Q666" s="193" t="str">
        <f t="shared" si="101"/>
        <v/>
      </c>
      <c r="R666" s="194" t="str">
        <f t="shared" si="102"/>
        <v/>
      </c>
      <c r="S666" s="195" t="str">
        <f t="shared" si="104"/>
        <v/>
      </c>
      <c r="T666" s="196" t="str">
        <f t="shared" si="105"/>
        <v/>
      </c>
      <c r="U666" s="197" t="str">
        <f t="shared" si="106"/>
        <v/>
      </c>
      <c r="V666" s="198" t="str">
        <f t="shared" si="103"/>
        <v/>
      </c>
      <c r="W666" s="339" t="str">
        <f t="shared" si="107"/>
        <v/>
      </c>
      <c r="X666" s="341" t="str">
        <f t="shared" si="108"/>
        <v/>
      </c>
      <c r="Y666" s="277"/>
      <c r="AR666" t="str">
        <f t="shared" si="109"/>
        <v/>
      </c>
      <c r="AS666" t="str">
        <f t="shared" si="110"/>
        <v/>
      </c>
    </row>
    <row r="667" spans="1:45">
      <c r="A667" s="294"/>
      <c r="B667" s="295"/>
      <c r="C667" s="296"/>
      <c r="D667" s="296"/>
      <c r="E667" s="296"/>
      <c r="F667" s="296"/>
      <c r="G667" s="297"/>
      <c r="H667" s="303"/>
      <c r="I667" s="298"/>
      <c r="J667" s="298"/>
      <c r="K667" s="299"/>
      <c r="L667" s="304"/>
      <c r="M667" s="300"/>
      <c r="N667" s="301"/>
      <c r="P667" s="193" t="str">
        <f>IF(R667 = "", "", COUNT(R$4:$R667))</f>
        <v/>
      </c>
      <c r="Q667" s="193" t="str">
        <f t="shared" si="101"/>
        <v/>
      </c>
      <c r="R667" s="194" t="str">
        <f t="shared" si="102"/>
        <v/>
      </c>
      <c r="S667" s="195" t="str">
        <f t="shared" si="104"/>
        <v/>
      </c>
      <c r="T667" s="196" t="str">
        <f t="shared" si="105"/>
        <v/>
      </c>
      <c r="U667" s="197" t="str">
        <f t="shared" si="106"/>
        <v/>
      </c>
      <c r="V667" s="198" t="str">
        <f t="shared" si="103"/>
        <v/>
      </c>
      <c r="W667" s="339" t="str">
        <f t="shared" si="107"/>
        <v/>
      </c>
      <c r="X667" s="341" t="str">
        <f t="shared" si="108"/>
        <v/>
      </c>
      <c r="Y667" s="277"/>
      <c r="AR667" t="str">
        <f t="shared" si="109"/>
        <v/>
      </c>
      <c r="AS667" t="str">
        <f t="shared" si="110"/>
        <v/>
      </c>
    </row>
    <row r="668" spans="1:45">
      <c r="A668" s="294"/>
      <c r="B668" s="295"/>
      <c r="C668" s="296"/>
      <c r="D668" s="296"/>
      <c r="E668" s="296"/>
      <c r="F668" s="296"/>
      <c r="G668" s="297"/>
      <c r="H668" s="303"/>
      <c r="I668" s="298"/>
      <c r="J668" s="298"/>
      <c r="K668" s="299"/>
      <c r="L668" s="304"/>
      <c r="M668" s="300"/>
      <c r="N668" s="301"/>
      <c r="P668" s="193" t="str">
        <f>IF(R668 = "", "", COUNT(R$4:$R668))</f>
        <v/>
      </c>
      <c r="Q668" s="193" t="str">
        <f t="shared" si="101"/>
        <v/>
      </c>
      <c r="R668" s="194" t="str">
        <f t="shared" si="102"/>
        <v/>
      </c>
      <c r="S668" s="195" t="str">
        <f t="shared" si="104"/>
        <v/>
      </c>
      <c r="T668" s="196" t="str">
        <f t="shared" si="105"/>
        <v/>
      </c>
      <c r="U668" s="197" t="str">
        <f t="shared" si="106"/>
        <v/>
      </c>
      <c r="V668" s="198" t="str">
        <f t="shared" si="103"/>
        <v/>
      </c>
      <c r="W668" s="339" t="str">
        <f t="shared" si="107"/>
        <v/>
      </c>
      <c r="X668" s="341" t="str">
        <f t="shared" si="108"/>
        <v/>
      </c>
      <c r="Y668" s="277"/>
      <c r="AR668" t="str">
        <f t="shared" si="109"/>
        <v/>
      </c>
      <c r="AS668" t="str">
        <f t="shared" si="110"/>
        <v/>
      </c>
    </row>
    <row r="669" spans="1:45">
      <c r="A669" s="294"/>
      <c r="B669" s="295"/>
      <c r="C669" s="296"/>
      <c r="D669" s="296"/>
      <c r="E669" s="296"/>
      <c r="F669" s="296"/>
      <c r="G669" s="297"/>
      <c r="H669" s="303"/>
      <c r="I669" s="298"/>
      <c r="J669" s="298"/>
      <c r="K669" s="299"/>
      <c r="L669" s="304"/>
      <c r="M669" s="300"/>
      <c r="N669" s="301"/>
      <c r="P669" s="193" t="str">
        <f>IF(R669 = "", "", COUNT(R$4:$R669))</f>
        <v/>
      </c>
      <c r="Q669" s="193" t="str">
        <f t="shared" si="101"/>
        <v/>
      </c>
      <c r="R669" s="194" t="str">
        <f t="shared" si="102"/>
        <v/>
      </c>
      <c r="S669" s="195" t="str">
        <f t="shared" si="104"/>
        <v/>
      </c>
      <c r="T669" s="196" t="str">
        <f t="shared" si="105"/>
        <v/>
      </c>
      <c r="U669" s="197" t="str">
        <f t="shared" si="106"/>
        <v/>
      </c>
      <c r="V669" s="198" t="str">
        <f t="shared" si="103"/>
        <v/>
      </c>
      <c r="W669" s="339" t="str">
        <f t="shared" si="107"/>
        <v/>
      </c>
      <c r="X669" s="341" t="str">
        <f t="shared" si="108"/>
        <v/>
      </c>
      <c r="Y669" s="277"/>
      <c r="AR669" t="str">
        <f t="shared" si="109"/>
        <v/>
      </c>
      <c r="AS669" t="str">
        <f t="shared" si="110"/>
        <v/>
      </c>
    </row>
    <row r="670" spans="1:45">
      <c r="A670" s="294"/>
      <c r="B670" s="295"/>
      <c r="C670" s="296"/>
      <c r="D670" s="296"/>
      <c r="E670" s="296"/>
      <c r="F670" s="296"/>
      <c r="G670" s="297"/>
      <c r="H670" s="303"/>
      <c r="I670" s="298"/>
      <c r="J670" s="298"/>
      <c r="K670" s="299"/>
      <c r="L670" s="304"/>
      <c r="M670" s="300"/>
      <c r="N670" s="301"/>
      <c r="P670" s="193" t="str">
        <f>IF(R670 = "", "", COUNT(R$4:$R670))</f>
        <v/>
      </c>
      <c r="Q670" s="193" t="str">
        <f t="shared" si="101"/>
        <v/>
      </c>
      <c r="R670" s="194" t="str">
        <f t="shared" si="102"/>
        <v/>
      </c>
      <c r="S670" s="195" t="str">
        <f t="shared" si="104"/>
        <v/>
      </c>
      <c r="T670" s="196" t="str">
        <f t="shared" si="105"/>
        <v/>
      </c>
      <c r="U670" s="197" t="str">
        <f t="shared" si="106"/>
        <v/>
      </c>
      <c r="V670" s="198" t="str">
        <f t="shared" si="103"/>
        <v/>
      </c>
      <c r="W670" s="339" t="str">
        <f t="shared" si="107"/>
        <v/>
      </c>
      <c r="X670" s="341" t="str">
        <f t="shared" si="108"/>
        <v/>
      </c>
      <c r="Y670" s="277"/>
      <c r="AR670" t="str">
        <f t="shared" si="109"/>
        <v/>
      </c>
      <c r="AS670" t="str">
        <f t="shared" si="110"/>
        <v/>
      </c>
    </row>
    <row r="671" spans="1:45">
      <c r="A671" s="294"/>
      <c r="B671" s="295"/>
      <c r="C671" s="296"/>
      <c r="D671" s="296"/>
      <c r="E671" s="296"/>
      <c r="F671" s="296"/>
      <c r="G671" s="297"/>
      <c r="H671" s="303"/>
      <c r="I671" s="298"/>
      <c r="J671" s="298"/>
      <c r="K671" s="299"/>
      <c r="L671" s="304"/>
      <c r="M671" s="300"/>
      <c r="N671" s="301"/>
      <c r="P671" s="193" t="str">
        <f>IF(R671 = "", "", COUNT(R$4:$R671))</f>
        <v/>
      </c>
      <c r="Q671" s="193" t="str">
        <f t="shared" si="101"/>
        <v/>
      </c>
      <c r="R671" s="194" t="str">
        <f t="shared" si="102"/>
        <v/>
      </c>
      <c r="S671" s="195" t="str">
        <f t="shared" si="104"/>
        <v/>
      </c>
      <c r="T671" s="196" t="str">
        <f t="shared" si="105"/>
        <v/>
      </c>
      <c r="U671" s="197" t="str">
        <f t="shared" si="106"/>
        <v/>
      </c>
      <c r="V671" s="198" t="str">
        <f t="shared" si="103"/>
        <v/>
      </c>
      <c r="W671" s="339" t="str">
        <f t="shared" si="107"/>
        <v/>
      </c>
      <c r="X671" s="341" t="str">
        <f t="shared" si="108"/>
        <v/>
      </c>
      <c r="Y671" s="277"/>
      <c r="AR671" t="str">
        <f t="shared" si="109"/>
        <v/>
      </c>
      <c r="AS671" t="str">
        <f t="shared" si="110"/>
        <v/>
      </c>
    </row>
    <row r="672" spans="1:45">
      <c r="A672" s="294"/>
      <c r="B672" s="295"/>
      <c r="C672" s="296"/>
      <c r="D672" s="296"/>
      <c r="E672" s="296"/>
      <c r="F672" s="296"/>
      <c r="G672" s="297"/>
      <c r="H672" s="303"/>
      <c r="I672" s="298"/>
      <c r="J672" s="298"/>
      <c r="K672" s="299"/>
      <c r="L672" s="304"/>
      <c r="M672" s="300"/>
      <c r="N672" s="301"/>
      <c r="P672" s="193" t="str">
        <f>IF(R672 = "", "", COUNT(R$4:$R672))</f>
        <v/>
      </c>
      <c r="Q672" s="193" t="str">
        <f t="shared" si="101"/>
        <v/>
      </c>
      <c r="R672" s="194" t="str">
        <f t="shared" si="102"/>
        <v/>
      </c>
      <c r="S672" s="195" t="str">
        <f t="shared" si="104"/>
        <v/>
      </c>
      <c r="T672" s="196" t="str">
        <f t="shared" si="105"/>
        <v/>
      </c>
      <c r="U672" s="197" t="str">
        <f t="shared" si="106"/>
        <v/>
      </c>
      <c r="V672" s="198" t="str">
        <f t="shared" si="103"/>
        <v/>
      </c>
      <c r="W672" s="339" t="str">
        <f t="shared" si="107"/>
        <v/>
      </c>
      <c r="X672" s="341" t="str">
        <f t="shared" si="108"/>
        <v/>
      </c>
      <c r="Y672" s="277"/>
      <c r="AR672" t="str">
        <f t="shared" si="109"/>
        <v/>
      </c>
      <c r="AS672" t="str">
        <f t="shared" si="110"/>
        <v/>
      </c>
    </row>
    <row r="673" spans="1:45">
      <c r="A673" s="294"/>
      <c r="B673" s="295"/>
      <c r="C673" s="296"/>
      <c r="D673" s="296"/>
      <c r="E673" s="296"/>
      <c r="F673" s="296"/>
      <c r="G673" s="297"/>
      <c r="H673" s="303"/>
      <c r="I673" s="298"/>
      <c r="J673" s="298"/>
      <c r="K673" s="299"/>
      <c r="L673" s="304"/>
      <c r="M673" s="300"/>
      <c r="N673" s="301"/>
      <c r="P673" s="193" t="str">
        <f>IF(R673 = "", "", COUNT(R$4:$R673))</f>
        <v/>
      </c>
      <c r="Q673" s="193" t="str">
        <f t="shared" si="101"/>
        <v/>
      </c>
      <c r="R673" s="194" t="str">
        <f t="shared" si="102"/>
        <v/>
      </c>
      <c r="S673" s="195" t="str">
        <f t="shared" si="104"/>
        <v/>
      </c>
      <c r="T673" s="196" t="str">
        <f t="shared" si="105"/>
        <v/>
      </c>
      <c r="U673" s="197" t="str">
        <f t="shared" si="106"/>
        <v/>
      </c>
      <c r="V673" s="198" t="str">
        <f t="shared" si="103"/>
        <v/>
      </c>
      <c r="W673" s="339" t="str">
        <f t="shared" si="107"/>
        <v/>
      </c>
      <c r="X673" s="341" t="str">
        <f t="shared" si="108"/>
        <v/>
      </c>
      <c r="Y673" s="277"/>
      <c r="AR673" t="str">
        <f t="shared" si="109"/>
        <v/>
      </c>
      <c r="AS673" t="str">
        <f t="shared" si="110"/>
        <v/>
      </c>
    </row>
    <row r="674" spans="1:45">
      <c r="A674" s="294"/>
      <c r="B674" s="295"/>
      <c r="C674" s="296"/>
      <c r="D674" s="296"/>
      <c r="E674" s="296"/>
      <c r="F674" s="296"/>
      <c r="G674" s="297"/>
      <c r="H674" s="303"/>
      <c r="I674" s="298"/>
      <c r="J674" s="298"/>
      <c r="K674" s="299"/>
      <c r="L674" s="304"/>
      <c r="M674" s="300"/>
      <c r="N674" s="301"/>
      <c r="P674" s="193" t="str">
        <f>IF(R674 = "", "", COUNT(R$4:$R674))</f>
        <v/>
      </c>
      <c r="Q674" s="193" t="str">
        <f t="shared" si="101"/>
        <v/>
      </c>
      <c r="R674" s="194" t="str">
        <f t="shared" si="102"/>
        <v/>
      </c>
      <c r="S674" s="195" t="str">
        <f t="shared" si="104"/>
        <v/>
      </c>
      <c r="T674" s="196" t="str">
        <f t="shared" si="105"/>
        <v/>
      </c>
      <c r="U674" s="197" t="str">
        <f t="shared" si="106"/>
        <v/>
      </c>
      <c r="V674" s="198" t="str">
        <f t="shared" si="103"/>
        <v/>
      </c>
      <c r="W674" s="339" t="str">
        <f t="shared" si="107"/>
        <v/>
      </c>
      <c r="X674" s="341" t="str">
        <f t="shared" si="108"/>
        <v/>
      </c>
      <c r="Y674" s="277"/>
      <c r="AR674" t="str">
        <f t="shared" si="109"/>
        <v/>
      </c>
      <c r="AS674" t="str">
        <f t="shared" si="110"/>
        <v/>
      </c>
    </row>
    <row r="675" spans="1:45">
      <c r="A675" s="294"/>
      <c r="B675" s="295"/>
      <c r="C675" s="296"/>
      <c r="D675" s="296"/>
      <c r="E675" s="296"/>
      <c r="F675" s="296"/>
      <c r="G675" s="297"/>
      <c r="H675" s="303"/>
      <c r="I675" s="298"/>
      <c r="J675" s="298"/>
      <c r="K675" s="299"/>
      <c r="L675" s="304"/>
      <c r="M675" s="300"/>
      <c r="N675" s="301"/>
      <c r="P675" s="193" t="str">
        <f>IF(R675 = "", "", COUNT(R$4:$R675))</f>
        <v/>
      </c>
      <c r="Q675" s="193" t="str">
        <f t="shared" si="101"/>
        <v/>
      </c>
      <c r="R675" s="194" t="str">
        <f t="shared" si="102"/>
        <v/>
      </c>
      <c r="S675" s="195" t="str">
        <f t="shared" si="104"/>
        <v/>
      </c>
      <c r="T675" s="196" t="str">
        <f t="shared" si="105"/>
        <v/>
      </c>
      <c r="U675" s="197" t="str">
        <f t="shared" si="106"/>
        <v/>
      </c>
      <c r="V675" s="198" t="str">
        <f t="shared" si="103"/>
        <v/>
      </c>
      <c r="W675" s="339" t="str">
        <f t="shared" si="107"/>
        <v/>
      </c>
      <c r="X675" s="341" t="str">
        <f t="shared" si="108"/>
        <v/>
      </c>
      <c r="Y675" s="277"/>
      <c r="AR675" t="str">
        <f t="shared" si="109"/>
        <v/>
      </c>
      <c r="AS675" t="str">
        <f t="shared" si="110"/>
        <v/>
      </c>
    </row>
    <row r="676" spans="1:45">
      <c r="A676" s="294"/>
      <c r="B676" s="295"/>
      <c r="C676" s="296"/>
      <c r="D676" s="296"/>
      <c r="E676" s="296"/>
      <c r="F676" s="296"/>
      <c r="G676" s="297"/>
      <c r="H676" s="303"/>
      <c r="I676" s="298"/>
      <c r="J676" s="298"/>
      <c r="K676" s="299"/>
      <c r="L676" s="304"/>
      <c r="M676" s="300"/>
      <c r="N676" s="301"/>
      <c r="P676" s="193" t="str">
        <f>IF(R676 = "", "", COUNT(R$4:$R676))</f>
        <v/>
      </c>
      <c r="Q676" s="193" t="str">
        <f t="shared" si="101"/>
        <v/>
      </c>
      <c r="R676" s="194" t="str">
        <f t="shared" si="102"/>
        <v/>
      </c>
      <c r="S676" s="195" t="str">
        <f t="shared" si="104"/>
        <v/>
      </c>
      <c r="T676" s="196" t="str">
        <f t="shared" si="105"/>
        <v/>
      </c>
      <c r="U676" s="197" t="str">
        <f t="shared" si="106"/>
        <v/>
      </c>
      <c r="V676" s="198" t="str">
        <f t="shared" si="103"/>
        <v/>
      </c>
      <c r="W676" s="339" t="str">
        <f t="shared" si="107"/>
        <v/>
      </c>
      <c r="X676" s="341" t="str">
        <f t="shared" si="108"/>
        <v/>
      </c>
      <c r="Y676" s="277"/>
      <c r="AR676" t="str">
        <f t="shared" si="109"/>
        <v/>
      </c>
      <c r="AS676" t="str">
        <f t="shared" si="110"/>
        <v/>
      </c>
    </row>
    <row r="677" spans="1:45">
      <c r="A677" s="294"/>
      <c r="B677" s="295"/>
      <c r="C677" s="296"/>
      <c r="D677" s="296"/>
      <c r="E677" s="296"/>
      <c r="F677" s="296"/>
      <c r="G677" s="297"/>
      <c r="H677" s="303"/>
      <c r="I677" s="298"/>
      <c r="J677" s="298"/>
      <c r="K677" s="299"/>
      <c r="L677" s="304"/>
      <c r="M677" s="300"/>
      <c r="N677" s="301"/>
      <c r="P677" s="193" t="str">
        <f>IF(R677 = "", "", COUNT(R$4:$R677))</f>
        <v/>
      </c>
      <c r="Q677" s="193" t="str">
        <f t="shared" si="101"/>
        <v/>
      </c>
      <c r="R677" s="194" t="str">
        <f t="shared" si="102"/>
        <v/>
      </c>
      <c r="S677" s="195" t="str">
        <f t="shared" si="104"/>
        <v/>
      </c>
      <c r="T677" s="196" t="str">
        <f t="shared" si="105"/>
        <v/>
      </c>
      <c r="U677" s="197" t="str">
        <f t="shared" si="106"/>
        <v/>
      </c>
      <c r="V677" s="198" t="str">
        <f t="shared" si="103"/>
        <v/>
      </c>
      <c r="W677" s="339" t="str">
        <f t="shared" si="107"/>
        <v/>
      </c>
      <c r="X677" s="341" t="str">
        <f t="shared" si="108"/>
        <v/>
      </c>
      <c r="Y677" s="277"/>
      <c r="AR677" t="str">
        <f t="shared" si="109"/>
        <v/>
      </c>
      <c r="AS677" t="str">
        <f t="shared" si="110"/>
        <v/>
      </c>
    </row>
    <row r="678" spans="1:45">
      <c r="A678" s="294"/>
      <c r="B678" s="295"/>
      <c r="C678" s="296"/>
      <c r="D678" s="296"/>
      <c r="E678" s="296"/>
      <c r="F678" s="296"/>
      <c r="G678" s="297"/>
      <c r="H678" s="303"/>
      <c r="I678" s="298"/>
      <c r="J678" s="298"/>
      <c r="K678" s="299"/>
      <c r="L678" s="304"/>
      <c r="M678" s="300"/>
      <c r="N678" s="301"/>
      <c r="P678" s="193" t="str">
        <f>IF(R678 = "", "", COUNT(R$4:$R678))</f>
        <v/>
      </c>
      <c r="Q678" s="193" t="str">
        <f t="shared" si="101"/>
        <v/>
      </c>
      <c r="R678" s="194" t="str">
        <f t="shared" si="102"/>
        <v/>
      </c>
      <c r="S678" s="195" t="str">
        <f t="shared" si="104"/>
        <v/>
      </c>
      <c r="T678" s="196" t="str">
        <f t="shared" si="105"/>
        <v/>
      </c>
      <c r="U678" s="197" t="str">
        <f t="shared" si="106"/>
        <v/>
      </c>
      <c r="V678" s="198" t="str">
        <f t="shared" si="103"/>
        <v/>
      </c>
      <c r="W678" s="339" t="str">
        <f t="shared" si="107"/>
        <v/>
      </c>
      <c r="X678" s="341" t="str">
        <f t="shared" si="108"/>
        <v/>
      </c>
      <c r="Y678" s="277"/>
      <c r="AR678" t="str">
        <f t="shared" si="109"/>
        <v/>
      </c>
      <c r="AS678" t="str">
        <f t="shared" si="110"/>
        <v/>
      </c>
    </row>
    <row r="679" spans="1:45">
      <c r="A679" s="294"/>
      <c r="B679" s="295"/>
      <c r="C679" s="296"/>
      <c r="D679" s="296"/>
      <c r="E679" s="296"/>
      <c r="F679" s="296"/>
      <c r="G679" s="297"/>
      <c r="H679" s="303"/>
      <c r="I679" s="298"/>
      <c r="J679" s="298"/>
      <c r="K679" s="299"/>
      <c r="L679" s="304"/>
      <c r="M679" s="300"/>
      <c r="N679" s="301"/>
      <c r="P679" s="193" t="str">
        <f>IF(R679 = "", "", COUNT(R$4:$R679))</f>
        <v/>
      </c>
      <c r="Q679" s="193" t="str">
        <f t="shared" si="101"/>
        <v/>
      </c>
      <c r="R679" s="194" t="str">
        <f t="shared" si="102"/>
        <v/>
      </c>
      <c r="S679" s="195" t="str">
        <f t="shared" si="104"/>
        <v/>
      </c>
      <c r="T679" s="196" t="str">
        <f t="shared" si="105"/>
        <v/>
      </c>
      <c r="U679" s="197" t="str">
        <f t="shared" si="106"/>
        <v/>
      </c>
      <c r="V679" s="198" t="str">
        <f t="shared" si="103"/>
        <v/>
      </c>
      <c r="W679" s="339" t="str">
        <f t="shared" si="107"/>
        <v/>
      </c>
      <c r="X679" s="341" t="str">
        <f t="shared" si="108"/>
        <v/>
      </c>
      <c r="Y679" s="277"/>
      <c r="AR679" t="str">
        <f t="shared" si="109"/>
        <v/>
      </c>
      <c r="AS679" t="str">
        <f t="shared" si="110"/>
        <v/>
      </c>
    </row>
    <row r="680" spans="1:45">
      <c r="A680" s="294"/>
      <c r="B680" s="295"/>
      <c r="C680" s="296"/>
      <c r="D680" s="296"/>
      <c r="E680" s="296"/>
      <c r="F680" s="296"/>
      <c r="G680" s="297"/>
      <c r="H680" s="303"/>
      <c r="I680" s="298"/>
      <c r="J680" s="298"/>
      <c r="K680" s="299"/>
      <c r="L680" s="304"/>
      <c r="M680" s="300"/>
      <c r="N680" s="301"/>
      <c r="P680" s="193" t="str">
        <f>IF(R680 = "", "", COUNT(R$4:$R680))</f>
        <v/>
      </c>
      <c r="Q680" s="193" t="str">
        <f t="shared" si="101"/>
        <v/>
      </c>
      <c r="R680" s="194" t="str">
        <f t="shared" si="102"/>
        <v/>
      </c>
      <c r="S680" s="195" t="str">
        <f t="shared" si="104"/>
        <v/>
      </c>
      <c r="T680" s="196" t="str">
        <f t="shared" si="105"/>
        <v/>
      </c>
      <c r="U680" s="197" t="str">
        <f t="shared" si="106"/>
        <v/>
      </c>
      <c r="V680" s="198" t="str">
        <f t="shared" si="103"/>
        <v/>
      </c>
      <c r="W680" s="339" t="str">
        <f t="shared" si="107"/>
        <v/>
      </c>
      <c r="X680" s="341" t="str">
        <f t="shared" si="108"/>
        <v/>
      </c>
      <c r="Y680" s="277"/>
      <c r="AR680" t="str">
        <f t="shared" si="109"/>
        <v/>
      </c>
      <c r="AS680" t="str">
        <f t="shared" si="110"/>
        <v/>
      </c>
    </row>
    <row r="681" spans="1:45">
      <c r="A681" s="294"/>
      <c r="B681" s="295"/>
      <c r="C681" s="296"/>
      <c r="D681" s="296"/>
      <c r="E681" s="296"/>
      <c r="F681" s="296"/>
      <c r="G681" s="297"/>
      <c r="H681" s="303"/>
      <c r="I681" s="298"/>
      <c r="J681" s="298"/>
      <c r="K681" s="299"/>
      <c r="L681" s="304"/>
      <c r="M681" s="300"/>
      <c r="N681" s="301"/>
      <c r="P681" s="193" t="str">
        <f>IF(R681 = "", "", COUNT(R$4:$R681))</f>
        <v/>
      </c>
      <c r="Q681" s="193" t="str">
        <f t="shared" si="101"/>
        <v/>
      </c>
      <c r="R681" s="194" t="str">
        <f t="shared" si="102"/>
        <v/>
      </c>
      <c r="S681" s="195" t="str">
        <f t="shared" si="104"/>
        <v/>
      </c>
      <c r="T681" s="196" t="str">
        <f t="shared" si="105"/>
        <v/>
      </c>
      <c r="U681" s="197" t="str">
        <f t="shared" si="106"/>
        <v/>
      </c>
      <c r="V681" s="198" t="str">
        <f t="shared" si="103"/>
        <v/>
      </c>
      <c r="W681" s="339" t="str">
        <f t="shared" si="107"/>
        <v/>
      </c>
      <c r="X681" s="341" t="str">
        <f t="shared" si="108"/>
        <v/>
      </c>
      <c r="Y681" s="277"/>
      <c r="AR681" t="str">
        <f t="shared" si="109"/>
        <v/>
      </c>
      <c r="AS681" t="str">
        <f t="shared" si="110"/>
        <v/>
      </c>
    </row>
    <row r="682" spans="1:45">
      <c r="A682" s="294"/>
      <c r="B682" s="295"/>
      <c r="C682" s="296"/>
      <c r="D682" s="296"/>
      <c r="E682" s="296"/>
      <c r="F682" s="296"/>
      <c r="G682" s="297"/>
      <c r="H682" s="303"/>
      <c r="I682" s="298"/>
      <c r="J682" s="298"/>
      <c r="K682" s="299"/>
      <c r="L682" s="304"/>
      <c r="M682" s="300"/>
      <c r="N682" s="301"/>
      <c r="P682" s="193" t="str">
        <f>IF(R682 = "", "", COUNT(R$4:$R682))</f>
        <v/>
      </c>
      <c r="Q682" s="193" t="str">
        <f t="shared" si="101"/>
        <v/>
      </c>
      <c r="R682" s="194" t="str">
        <f t="shared" si="102"/>
        <v/>
      </c>
      <c r="S682" s="195" t="str">
        <f t="shared" si="104"/>
        <v/>
      </c>
      <c r="T682" s="196" t="str">
        <f t="shared" si="105"/>
        <v/>
      </c>
      <c r="U682" s="197" t="str">
        <f t="shared" si="106"/>
        <v/>
      </c>
      <c r="V682" s="198" t="str">
        <f t="shared" si="103"/>
        <v/>
      </c>
      <c r="W682" s="339" t="str">
        <f t="shared" si="107"/>
        <v/>
      </c>
      <c r="X682" s="341" t="str">
        <f t="shared" si="108"/>
        <v/>
      </c>
      <c r="Y682" s="277"/>
      <c r="AR682" t="str">
        <f t="shared" si="109"/>
        <v/>
      </c>
      <c r="AS682" t="str">
        <f t="shared" si="110"/>
        <v/>
      </c>
    </row>
    <row r="683" spans="1:45">
      <c r="A683" s="294"/>
      <c r="B683" s="295"/>
      <c r="C683" s="296"/>
      <c r="D683" s="296"/>
      <c r="E683" s="296"/>
      <c r="F683" s="296"/>
      <c r="G683" s="297"/>
      <c r="H683" s="303"/>
      <c r="I683" s="298"/>
      <c r="J683" s="298"/>
      <c r="K683" s="299"/>
      <c r="L683" s="304"/>
      <c r="M683" s="300"/>
      <c r="N683" s="301"/>
      <c r="P683" s="193" t="str">
        <f>IF(R683 = "", "", COUNT(R$4:$R683))</f>
        <v/>
      </c>
      <c r="Q683" s="193" t="str">
        <f t="shared" si="101"/>
        <v/>
      </c>
      <c r="R683" s="194" t="str">
        <f t="shared" si="102"/>
        <v/>
      </c>
      <c r="S683" s="195" t="str">
        <f t="shared" si="104"/>
        <v/>
      </c>
      <c r="T683" s="196" t="str">
        <f t="shared" si="105"/>
        <v/>
      </c>
      <c r="U683" s="197" t="str">
        <f t="shared" si="106"/>
        <v/>
      </c>
      <c r="V683" s="198" t="str">
        <f t="shared" si="103"/>
        <v/>
      </c>
      <c r="W683" s="339" t="str">
        <f t="shared" si="107"/>
        <v/>
      </c>
      <c r="X683" s="341" t="str">
        <f t="shared" si="108"/>
        <v/>
      </c>
      <c r="Y683" s="277"/>
      <c r="AR683" t="str">
        <f t="shared" si="109"/>
        <v/>
      </c>
      <c r="AS683" t="str">
        <f t="shared" si="110"/>
        <v/>
      </c>
    </row>
    <row r="684" spans="1:45">
      <c r="A684" s="294"/>
      <c r="B684" s="295"/>
      <c r="C684" s="296"/>
      <c r="D684" s="296"/>
      <c r="E684" s="296"/>
      <c r="F684" s="296"/>
      <c r="G684" s="297"/>
      <c r="H684" s="303"/>
      <c r="I684" s="298"/>
      <c r="J684" s="298"/>
      <c r="K684" s="299"/>
      <c r="L684" s="304"/>
      <c r="M684" s="300"/>
      <c r="N684" s="301"/>
      <c r="P684" s="193" t="str">
        <f>IF(R684 = "", "", COUNT(R$4:$R684))</f>
        <v/>
      </c>
      <c r="Q684" s="193" t="str">
        <f t="shared" si="101"/>
        <v/>
      </c>
      <c r="R684" s="194" t="str">
        <f t="shared" si="102"/>
        <v/>
      </c>
      <c r="S684" s="195" t="str">
        <f t="shared" si="104"/>
        <v/>
      </c>
      <c r="T684" s="196" t="str">
        <f t="shared" si="105"/>
        <v/>
      </c>
      <c r="U684" s="197" t="str">
        <f t="shared" si="106"/>
        <v/>
      </c>
      <c r="V684" s="198" t="str">
        <f t="shared" si="103"/>
        <v/>
      </c>
      <c r="W684" s="339" t="str">
        <f t="shared" si="107"/>
        <v/>
      </c>
      <c r="X684" s="341" t="str">
        <f t="shared" si="108"/>
        <v/>
      </c>
      <c r="Y684" s="277"/>
      <c r="AR684" t="str">
        <f t="shared" si="109"/>
        <v/>
      </c>
      <c r="AS684" t="str">
        <f t="shared" si="110"/>
        <v/>
      </c>
    </row>
    <row r="685" spans="1:45">
      <c r="A685" s="294"/>
      <c r="B685" s="295"/>
      <c r="C685" s="296"/>
      <c r="D685" s="296"/>
      <c r="E685" s="296"/>
      <c r="F685" s="296"/>
      <c r="G685" s="297"/>
      <c r="H685" s="303"/>
      <c r="I685" s="298"/>
      <c r="J685" s="298"/>
      <c r="K685" s="299"/>
      <c r="L685" s="304"/>
      <c r="M685" s="300"/>
      <c r="N685" s="301"/>
      <c r="P685" s="193" t="str">
        <f>IF(R685 = "", "", COUNT(R$4:$R685))</f>
        <v/>
      </c>
      <c r="Q685" s="193" t="str">
        <f t="shared" si="101"/>
        <v/>
      </c>
      <c r="R685" s="194" t="str">
        <f t="shared" si="102"/>
        <v/>
      </c>
      <c r="S685" s="195" t="str">
        <f t="shared" si="104"/>
        <v/>
      </c>
      <c r="T685" s="196" t="str">
        <f t="shared" si="105"/>
        <v/>
      </c>
      <c r="U685" s="197" t="str">
        <f t="shared" si="106"/>
        <v/>
      </c>
      <c r="V685" s="198" t="str">
        <f t="shared" si="103"/>
        <v/>
      </c>
      <c r="W685" s="339" t="str">
        <f t="shared" si="107"/>
        <v/>
      </c>
      <c r="X685" s="341" t="str">
        <f t="shared" si="108"/>
        <v/>
      </c>
      <c r="Y685" s="277"/>
      <c r="AR685" t="str">
        <f t="shared" si="109"/>
        <v/>
      </c>
      <c r="AS685" t="str">
        <f t="shared" si="110"/>
        <v/>
      </c>
    </row>
    <row r="686" spans="1:45">
      <c r="A686" s="294"/>
      <c r="B686" s="295"/>
      <c r="C686" s="296"/>
      <c r="D686" s="296"/>
      <c r="E686" s="296"/>
      <c r="F686" s="296"/>
      <c r="G686" s="297"/>
      <c r="H686" s="303"/>
      <c r="I686" s="298"/>
      <c r="J686" s="298"/>
      <c r="K686" s="299"/>
      <c r="L686" s="304"/>
      <c r="M686" s="300"/>
      <c r="N686" s="301"/>
      <c r="P686" s="193" t="str">
        <f>IF(R686 = "", "", COUNT(R$4:$R686))</f>
        <v/>
      </c>
      <c r="Q686" s="193" t="str">
        <f t="shared" si="101"/>
        <v/>
      </c>
      <c r="R686" s="194" t="str">
        <f t="shared" si="102"/>
        <v/>
      </c>
      <c r="S686" s="195" t="str">
        <f t="shared" si="104"/>
        <v/>
      </c>
      <c r="T686" s="196" t="str">
        <f t="shared" si="105"/>
        <v/>
      </c>
      <c r="U686" s="197" t="str">
        <f t="shared" si="106"/>
        <v/>
      </c>
      <c r="V686" s="198" t="str">
        <f t="shared" si="103"/>
        <v/>
      </c>
      <c r="W686" s="339" t="str">
        <f t="shared" si="107"/>
        <v/>
      </c>
      <c r="X686" s="341" t="str">
        <f t="shared" si="108"/>
        <v/>
      </c>
      <c r="Y686" s="277"/>
      <c r="AR686" t="str">
        <f t="shared" si="109"/>
        <v/>
      </c>
      <c r="AS686" t="str">
        <f t="shared" si="110"/>
        <v/>
      </c>
    </row>
    <row r="687" spans="1:45">
      <c r="A687" s="294"/>
      <c r="B687" s="295"/>
      <c r="C687" s="296"/>
      <c r="D687" s="296"/>
      <c r="E687" s="296"/>
      <c r="F687" s="296"/>
      <c r="G687" s="297"/>
      <c r="H687" s="303"/>
      <c r="I687" s="298"/>
      <c r="J687" s="298"/>
      <c r="K687" s="299"/>
      <c r="L687" s="304"/>
      <c r="M687" s="300"/>
      <c r="N687" s="301"/>
      <c r="P687" s="193" t="str">
        <f>IF(R687 = "", "", COUNT(R$4:$R687))</f>
        <v/>
      </c>
      <c r="Q687" s="193" t="str">
        <f t="shared" si="101"/>
        <v/>
      </c>
      <c r="R687" s="194" t="str">
        <f t="shared" si="102"/>
        <v/>
      </c>
      <c r="S687" s="195" t="str">
        <f t="shared" si="104"/>
        <v/>
      </c>
      <c r="T687" s="196" t="str">
        <f t="shared" si="105"/>
        <v/>
      </c>
      <c r="U687" s="197" t="str">
        <f t="shared" si="106"/>
        <v/>
      </c>
      <c r="V687" s="198" t="str">
        <f t="shared" si="103"/>
        <v/>
      </c>
      <c r="W687" s="339" t="str">
        <f t="shared" si="107"/>
        <v/>
      </c>
      <c r="X687" s="341" t="str">
        <f t="shared" si="108"/>
        <v/>
      </c>
      <c r="Y687" s="277"/>
      <c r="AR687" t="str">
        <f t="shared" si="109"/>
        <v/>
      </c>
      <c r="AS687" t="str">
        <f t="shared" si="110"/>
        <v/>
      </c>
    </row>
    <row r="688" spans="1:45">
      <c r="A688" s="294"/>
      <c r="B688" s="295"/>
      <c r="C688" s="296"/>
      <c r="D688" s="296"/>
      <c r="E688" s="296"/>
      <c r="F688" s="296"/>
      <c r="G688" s="297"/>
      <c r="H688" s="303"/>
      <c r="I688" s="298"/>
      <c r="J688" s="298"/>
      <c r="K688" s="299"/>
      <c r="L688" s="304"/>
      <c r="M688" s="300"/>
      <c r="N688" s="301"/>
      <c r="P688" s="193" t="str">
        <f>IF(R688 = "", "", COUNT(R$4:$R688))</f>
        <v/>
      </c>
      <c r="Q688" s="193" t="str">
        <f t="shared" si="101"/>
        <v/>
      </c>
      <c r="R688" s="194" t="str">
        <f t="shared" si="102"/>
        <v/>
      </c>
      <c r="S688" s="195" t="str">
        <f t="shared" si="104"/>
        <v/>
      </c>
      <c r="T688" s="196" t="str">
        <f t="shared" si="105"/>
        <v/>
      </c>
      <c r="U688" s="197" t="str">
        <f t="shared" si="106"/>
        <v/>
      </c>
      <c r="V688" s="198" t="str">
        <f t="shared" si="103"/>
        <v/>
      </c>
      <c r="W688" s="339" t="str">
        <f t="shared" si="107"/>
        <v/>
      </c>
      <c r="X688" s="341" t="str">
        <f t="shared" si="108"/>
        <v/>
      </c>
      <c r="Y688" s="277"/>
      <c r="AR688" t="str">
        <f t="shared" si="109"/>
        <v/>
      </c>
      <c r="AS688" t="str">
        <f t="shared" si="110"/>
        <v/>
      </c>
    </row>
    <row r="689" spans="1:45">
      <c r="A689" s="294"/>
      <c r="B689" s="295"/>
      <c r="C689" s="296"/>
      <c r="D689" s="296"/>
      <c r="E689" s="296"/>
      <c r="F689" s="296"/>
      <c r="G689" s="297"/>
      <c r="H689" s="303"/>
      <c r="I689" s="298"/>
      <c r="J689" s="298"/>
      <c r="K689" s="299"/>
      <c r="L689" s="304"/>
      <c r="M689" s="300"/>
      <c r="N689" s="301"/>
      <c r="P689" s="193" t="str">
        <f>IF(R689 = "", "", COUNT(R$4:$R689))</f>
        <v/>
      </c>
      <c r="Q689" s="193" t="str">
        <f t="shared" si="101"/>
        <v/>
      </c>
      <c r="R689" s="194" t="str">
        <f t="shared" si="102"/>
        <v/>
      </c>
      <c r="S689" s="195" t="str">
        <f t="shared" si="104"/>
        <v/>
      </c>
      <c r="T689" s="196" t="str">
        <f t="shared" si="105"/>
        <v/>
      </c>
      <c r="U689" s="197" t="str">
        <f t="shared" si="106"/>
        <v/>
      </c>
      <c r="V689" s="198" t="str">
        <f t="shared" si="103"/>
        <v/>
      </c>
      <c r="W689" s="339" t="str">
        <f t="shared" si="107"/>
        <v/>
      </c>
      <c r="X689" s="341" t="str">
        <f t="shared" si="108"/>
        <v/>
      </c>
      <c r="Y689" s="277"/>
      <c r="AR689" t="str">
        <f t="shared" si="109"/>
        <v/>
      </c>
      <c r="AS689" t="str">
        <f t="shared" si="110"/>
        <v/>
      </c>
    </row>
    <row r="690" spans="1:45">
      <c r="A690" s="294"/>
      <c r="B690" s="295"/>
      <c r="C690" s="296"/>
      <c r="D690" s="296"/>
      <c r="E690" s="296"/>
      <c r="F690" s="296"/>
      <c r="G690" s="297"/>
      <c r="H690" s="303"/>
      <c r="I690" s="298"/>
      <c r="J690" s="298"/>
      <c r="K690" s="299"/>
      <c r="L690" s="304"/>
      <c r="M690" s="300"/>
      <c r="N690" s="301"/>
      <c r="P690" s="193" t="str">
        <f>IF(R690 = "", "", COUNT(R$4:$R690))</f>
        <v/>
      </c>
      <c r="Q690" s="193" t="str">
        <f t="shared" si="101"/>
        <v/>
      </c>
      <c r="R690" s="194" t="str">
        <f t="shared" si="102"/>
        <v/>
      </c>
      <c r="S690" s="195" t="str">
        <f t="shared" si="104"/>
        <v/>
      </c>
      <c r="T690" s="196" t="str">
        <f t="shared" si="105"/>
        <v/>
      </c>
      <c r="U690" s="197" t="str">
        <f t="shared" si="106"/>
        <v/>
      </c>
      <c r="V690" s="198" t="str">
        <f t="shared" si="103"/>
        <v/>
      </c>
      <c r="W690" s="339" t="str">
        <f t="shared" si="107"/>
        <v/>
      </c>
      <c r="X690" s="341" t="str">
        <f t="shared" si="108"/>
        <v/>
      </c>
      <c r="Y690" s="277"/>
      <c r="AR690" t="str">
        <f t="shared" si="109"/>
        <v/>
      </c>
      <c r="AS690" t="str">
        <f t="shared" si="110"/>
        <v/>
      </c>
    </row>
    <row r="691" spans="1:45">
      <c r="A691" s="294"/>
      <c r="B691" s="295"/>
      <c r="C691" s="296"/>
      <c r="D691" s="296"/>
      <c r="E691" s="296"/>
      <c r="F691" s="296"/>
      <c r="G691" s="297"/>
      <c r="H691" s="303"/>
      <c r="I691" s="298"/>
      <c r="J691" s="298"/>
      <c r="K691" s="299"/>
      <c r="L691" s="304"/>
      <c r="M691" s="300"/>
      <c r="N691" s="301"/>
      <c r="P691" s="193" t="str">
        <f>IF(R691 = "", "", COUNT(R$4:$R691))</f>
        <v/>
      </c>
      <c r="Q691" s="193" t="str">
        <f t="shared" si="101"/>
        <v/>
      </c>
      <c r="R691" s="194" t="str">
        <f t="shared" si="102"/>
        <v/>
      </c>
      <c r="S691" s="195" t="str">
        <f t="shared" si="104"/>
        <v/>
      </c>
      <c r="T691" s="196" t="str">
        <f t="shared" si="105"/>
        <v/>
      </c>
      <c r="U691" s="197" t="str">
        <f t="shared" si="106"/>
        <v/>
      </c>
      <c r="V691" s="198" t="str">
        <f t="shared" si="103"/>
        <v/>
      </c>
      <c r="W691" s="339" t="str">
        <f t="shared" si="107"/>
        <v/>
      </c>
      <c r="X691" s="341" t="str">
        <f t="shared" si="108"/>
        <v/>
      </c>
      <c r="Y691" s="277"/>
      <c r="AR691" t="str">
        <f t="shared" si="109"/>
        <v/>
      </c>
      <c r="AS691" t="str">
        <f t="shared" si="110"/>
        <v/>
      </c>
    </row>
    <row r="692" spans="1:45">
      <c r="A692" s="294"/>
      <c r="B692" s="295"/>
      <c r="C692" s="296"/>
      <c r="D692" s="296"/>
      <c r="E692" s="296"/>
      <c r="F692" s="296"/>
      <c r="G692" s="297"/>
      <c r="H692" s="303"/>
      <c r="I692" s="298"/>
      <c r="J692" s="298"/>
      <c r="K692" s="299"/>
      <c r="L692" s="304"/>
      <c r="M692" s="300"/>
      <c r="N692" s="301"/>
      <c r="P692" s="193" t="str">
        <f>IF(R692 = "", "", COUNT(R$4:$R692))</f>
        <v/>
      </c>
      <c r="Q692" s="193" t="str">
        <f t="shared" si="101"/>
        <v/>
      </c>
      <c r="R692" s="194" t="str">
        <f t="shared" si="102"/>
        <v/>
      </c>
      <c r="S692" s="195" t="str">
        <f t="shared" si="104"/>
        <v/>
      </c>
      <c r="T692" s="196" t="str">
        <f t="shared" si="105"/>
        <v/>
      </c>
      <c r="U692" s="197" t="str">
        <f t="shared" si="106"/>
        <v/>
      </c>
      <c r="V692" s="198" t="str">
        <f t="shared" si="103"/>
        <v/>
      </c>
      <c r="W692" s="339" t="str">
        <f t="shared" si="107"/>
        <v/>
      </c>
      <c r="X692" s="341" t="str">
        <f t="shared" si="108"/>
        <v/>
      </c>
      <c r="Y692" s="277"/>
      <c r="AR692" t="str">
        <f t="shared" si="109"/>
        <v/>
      </c>
      <c r="AS692" t="str">
        <f t="shared" si="110"/>
        <v/>
      </c>
    </row>
    <row r="693" spans="1:45">
      <c r="A693" s="294"/>
      <c r="B693" s="295"/>
      <c r="C693" s="296"/>
      <c r="D693" s="296"/>
      <c r="E693" s="296"/>
      <c r="F693" s="296"/>
      <c r="G693" s="297"/>
      <c r="H693" s="303"/>
      <c r="I693" s="298"/>
      <c r="J693" s="298"/>
      <c r="K693" s="299"/>
      <c r="L693" s="304"/>
      <c r="M693" s="300"/>
      <c r="N693" s="301"/>
      <c r="P693" s="193" t="str">
        <f>IF(R693 = "", "", COUNT(R$4:$R693))</f>
        <v/>
      </c>
      <c r="Q693" s="193" t="str">
        <f t="shared" si="101"/>
        <v/>
      </c>
      <c r="R693" s="194" t="str">
        <f t="shared" si="102"/>
        <v/>
      </c>
      <c r="S693" s="195" t="str">
        <f t="shared" si="104"/>
        <v/>
      </c>
      <c r="T693" s="196" t="str">
        <f t="shared" si="105"/>
        <v/>
      </c>
      <c r="U693" s="197" t="str">
        <f t="shared" si="106"/>
        <v/>
      </c>
      <c r="V693" s="198" t="str">
        <f t="shared" si="103"/>
        <v/>
      </c>
      <c r="W693" s="339" t="str">
        <f t="shared" si="107"/>
        <v/>
      </c>
      <c r="X693" s="341" t="str">
        <f t="shared" si="108"/>
        <v/>
      </c>
      <c r="Y693" s="277"/>
      <c r="AR693" t="str">
        <f t="shared" si="109"/>
        <v/>
      </c>
      <c r="AS693" t="str">
        <f t="shared" si="110"/>
        <v/>
      </c>
    </row>
    <row r="694" spans="1:45">
      <c r="A694" s="294"/>
      <c r="B694" s="295"/>
      <c r="C694" s="296"/>
      <c r="D694" s="296"/>
      <c r="E694" s="296"/>
      <c r="F694" s="296"/>
      <c r="G694" s="297"/>
      <c r="H694" s="303"/>
      <c r="I694" s="298"/>
      <c r="J694" s="298"/>
      <c r="K694" s="299"/>
      <c r="L694" s="304"/>
      <c r="M694" s="300"/>
      <c r="N694" s="301"/>
      <c r="P694" s="193" t="str">
        <f>IF(R694 = "", "", COUNT(R$4:$R694))</f>
        <v/>
      </c>
      <c r="Q694" s="193" t="str">
        <f t="shared" si="101"/>
        <v/>
      </c>
      <c r="R694" s="194" t="str">
        <f t="shared" si="102"/>
        <v/>
      </c>
      <c r="S694" s="195" t="str">
        <f t="shared" si="104"/>
        <v/>
      </c>
      <c r="T694" s="196" t="str">
        <f t="shared" si="105"/>
        <v/>
      </c>
      <c r="U694" s="197" t="str">
        <f t="shared" si="106"/>
        <v/>
      </c>
      <c r="V694" s="198" t="str">
        <f t="shared" si="103"/>
        <v/>
      </c>
      <c r="W694" s="339" t="str">
        <f t="shared" si="107"/>
        <v/>
      </c>
      <c r="X694" s="341" t="str">
        <f t="shared" si="108"/>
        <v/>
      </c>
      <c r="Y694" s="277"/>
      <c r="AR694" t="str">
        <f t="shared" si="109"/>
        <v/>
      </c>
      <c r="AS694" t="str">
        <f t="shared" si="110"/>
        <v/>
      </c>
    </row>
    <row r="695" spans="1:45">
      <c r="A695" s="294"/>
      <c r="B695" s="295"/>
      <c r="C695" s="296"/>
      <c r="D695" s="296"/>
      <c r="E695" s="296"/>
      <c r="F695" s="296"/>
      <c r="G695" s="297"/>
      <c r="H695" s="303"/>
      <c r="I695" s="298"/>
      <c r="J695" s="298"/>
      <c r="K695" s="299"/>
      <c r="L695" s="304"/>
      <c r="M695" s="300"/>
      <c r="N695" s="301"/>
      <c r="P695" s="193" t="str">
        <f>IF(R695 = "", "", COUNT(R$4:$R695))</f>
        <v/>
      </c>
      <c r="Q695" s="193" t="str">
        <f t="shared" si="101"/>
        <v/>
      </c>
      <c r="R695" s="194" t="str">
        <f t="shared" si="102"/>
        <v/>
      </c>
      <c r="S695" s="195" t="str">
        <f t="shared" si="104"/>
        <v/>
      </c>
      <c r="T695" s="196" t="str">
        <f t="shared" si="105"/>
        <v/>
      </c>
      <c r="U695" s="197" t="str">
        <f t="shared" si="106"/>
        <v/>
      </c>
      <c r="V695" s="198" t="str">
        <f t="shared" si="103"/>
        <v/>
      </c>
      <c r="W695" s="339" t="str">
        <f t="shared" si="107"/>
        <v/>
      </c>
      <c r="X695" s="341" t="str">
        <f t="shared" si="108"/>
        <v/>
      </c>
      <c r="Y695" s="277"/>
      <c r="AR695" t="str">
        <f t="shared" si="109"/>
        <v/>
      </c>
      <c r="AS695" t="str">
        <f t="shared" si="110"/>
        <v/>
      </c>
    </row>
    <row r="696" spans="1:45">
      <c r="A696" s="294"/>
      <c r="B696" s="295"/>
      <c r="C696" s="296"/>
      <c r="D696" s="296"/>
      <c r="E696" s="296"/>
      <c r="F696" s="296"/>
      <c r="G696" s="297"/>
      <c r="H696" s="303"/>
      <c r="I696" s="298"/>
      <c r="J696" s="298"/>
      <c r="K696" s="299"/>
      <c r="L696" s="304"/>
      <c r="M696" s="300"/>
      <c r="N696" s="301"/>
      <c r="P696" s="193" t="str">
        <f>IF(R696 = "", "", COUNT(R$4:$R696))</f>
        <v/>
      </c>
      <c r="Q696" s="193" t="str">
        <f t="shared" si="101"/>
        <v/>
      </c>
      <c r="R696" s="194" t="str">
        <f t="shared" si="102"/>
        <v/>
      </c>
      <c r="S696" s="195" t="str">
        <f t="shared" si="104"/>
        <v/>
      </c>
      <c r="T696" s="196" t="str">
        <f t="shared" si="105"/>
        <v/>
      </c>
      <c r="U696" s="197" t="str">
        <f t="shared" si="106"/>
        <v/>
      </c>
      <c r="V696" s="198" t="str">
        <f t="shared" si="103"/>
        <v/>
      </c>
      <c r="W696" s="339" t="str">
        <f t="shared" si="107"/>
        <v/>
      </c>
      <c r="X696" s="341" t="str">
        <f t="shared" si="108"/>
        <v/>
      </c>
      <c r="Y696" s="277"/>
      <c r="AR696" t="str">
        <f t="shared" si="109"/>
        <v/>
      </c>
      <c r="AS696" t="str">
        <f t="shared" si="110"/>
        <v/>
      </c>
    </row>
    <row r="697" spans="1:45">
      <c r="A697" s="294"/>
      <c r="B697" s="295"/>
      <c r="C697" s="296"/>
      <c r="D697" s="296"/>
      <c r="E697" s="296"/>
      <c r="F697" s="296"/>
      <c r="G697" s="297"/>
      <c r="H697" s="303"/>
      <c r="I697" s="298"/>
      <c r="J697" s="298"/>
      <c r="K697" s="299"/>
      <c r="L697" s="304"/>
      <c r="M697" s="300"/>
      <c r="N697" s="301"/>
      <c r="P697" s="193" t="str">
        <f>IF(R697 = "", "", COUNT(R$4:$R697))</f>
        <v/>
      </c>
      <c r="Q697" s="193" t="str">
        <f t="shared" si="101"/>
        <v/>
      </c>
      <c r="R697" s="194" t="str">
        <f t="shared" si="102"/>
        <v/>
      </c>
      <c r="S697" s="195" t="str">
        <f t="shared" si="104"/>
        <v/>
      </c>
      <c r="T697" s="196" t="str">
        <f t="shared" si="105"/>
        <v/>
      </c>
      <c r="U697" s="197" t="str">
        <f t="shared" si="106"/>
        <v/>
      </c>
      <c r="V697" s="198" t="str">
        <f t="shared" si="103"/>
        <v/>
      </c>
      <c r="W697" s="339" t="str">
        <f t="shared" si="107"/>
        <v/>
      </c>
      <c r="X697" s="341" t="str">
        <f t="shared" si="108"/>
        <v/>
      </c>
      <c r="Y697" s="277"/>
      <c r="AR697" t="str">
        <f t="shared" si="109"/>
        <v/>
      </c>
      <c r="AS697" t="str">
        <f t="shared" si="110"/>
        <v/>
      </c>
    </row>
    <row r="698" spans="1:45">
      <c r="A698" s="294"/>
      <c r="B698" s="295"/>
      <c r="C698" s="296"/>
      <c r="D698" s="296"/>
      <c r="E698" s="296"/>
      <c r="F698" s="296"/>
      <c r="G698" s="297"/>
      <c r="H698" s="303"/>
      <c r="I698" s="298"/>
      <c r="J698" s="298"/>
      <c r="K698" s="299"/>
      <c r="L698" s="304"/>
      <c r="M698" s="300"/>
      <c r="N698" s="301"/>
      <c r="P698" s="193" t="str">
        <f>IF(R698 = "", "", COUNT(R$4:$R698))</f>
        <v/>
      </c>
      <c r="Q698" s="193" t="str">
        <f t="shared" si="101"/>
        <v/>
      </c>
      <c r="R698" s="194" t="str">
        <f t="shared" si="102"/>
        <v/>
      </c>
      <c r="S698" s="195" t="str">
        <f t="shared" si="104"/>
        <v/>
      </c>
      <c r="T698" s="196" t="str">
        <f t="shared" si="105"/>
        <v/>
      </c>
      <c r="U698" s="197" t="str">
        <f t="shared" si="106"/>
        <v/>
      </c>
      <c r="V698" s="198" t="str">
        <f t="shared" si="103"/>
        <v/>
      </c>
      <c r="W698" s="339" t="str">
        <f t="shared" si="107"/>
        <v/>
      </c>
      <c r="X698" s="341" t="str">
        <f t="shared" si="108"/>
        <v/>
      </c>
      <c r="Y698" s="277"/>
      <c r="AR698" t="str">
        <f t="shared" si="109"/>
        <v/>
      </c>
      <c r="AS698" t="str">
        <f t="shared" si="110"/>
        <v/>
      </c>
    </row>
    <row r="699" spans="1:45">
      <c r="A699" s="294"/>
      <c r="B699" s="295"/>
      <c r="C699" s="296"/>
      <c r="D699" s="296"/>
      <c r="E699" s="296"/>
      <c r="F699" s="296"/>
      <c r="G699" s="297"/>
      <c r="H699" s="303"/>
      <c r="I699" s="298"/>
      <c r="J699" s="298"/>
      <c r="K699" s="299"/>
      <c r="L699" s="304"/>
      <c r="M699" s="300"/>
      <c r="N699" s="301"/>
      <c r="P699" s="193" t="str">
        <f>IF(R699 = "", "", COUNT(R$4:$R699))</f>
        <v/>
      </c>
      <c r="Q699" s="193" t="str">
        <f t="shared" si="101"/>
        <v/>
      </c>
      <c r="R699" s="194" t="str">
        <f t="shared" si="102"/>
        <v/>
      </c>
      <c r="S699" s="195" t="str">
        <f t="shared" si="104"/>
        <v/>
      </c>
      <c r="T699" s="196" t="str">
        <f t="shared" si="105"/>
        <v/>
      </c>
      <c r="U699" s="197" t="str">
        <f t="shared" si="106"/>
        <v/>
      </c>
      <c r="V699" s="198" t="str">
        <f t="shared" si="103"/>
        <v/>
      </c>
      <c r="W699" s="339" t="str">
        <f t="shared" si="107"/>
        <v/>
      </c>
      <c r="X699" s="341" t="str">
        <f t="shared" si="108"/>
        <v/>
      </c>
      <c r="Y699" s="277"/>
      <c r="AR699" t="str">
        <f t="shared" si="109"/>
        <v/>
      </c>
      <c r="AS699" t="str">
        <f t="shared" si="110"/>
        <v/>
      </c>
    </row>
    <row r="700" spans="1:45">
      <c r="A700" s="294"/>
      <c r="B700" s="295"/>
      <c r="C700" s="296"/>
      <c r="D700" s="296"/>
      <c r="E700" s="296"/>
      <c r="F700" s="296"/>
      <c r="G700" s="297"/>
      <c r="H700" s="303"/>
      <c r="I700" s="298"/>
      <c r="J700" s="298"/>
      <c r="K700" s="299"/>
      <c r="L700" s="304"/>
      <c r="M700" s="300"/>
      <c r="N700" s="301"/>
      <c r="P700" s="193" t="str">
        <f>IF(R700 = "", "", COUNT(R$4:$R700))</f>
        <v/>
      </c>
      <c r="Q700" s="193" t="str">
        <f t="shared" si="101"/>
        <v/>
      </c>
      <c r="R700" s="194" t="str">
        <f t="shared" si="102"/>
        <v/>
      </c>
      <c r="S700" s="195" t="str">
        <f t="shared" si="104"/>
        <v/>
      </c>
      <c r="T700" s="196" t="str">
        <f t="shared" si="105"/>
        <v/>
      </c>
      <c r="U700" s="197" t="str">
        <f t="shared" si="106"/>
        <v/>
      </c>
      <c r="V700" s="198" t="str">
        <f t="shared" si="103"/>
        <v/>
      </c>
      <c r="W700" s="339" t="str">
        <f t="shared" si="107"/>
        <v/>
      </c>
      <c r="X700" s="341" t="str">
        <f t="shared" si="108"/>
        <v/>
      </c>
      <c r="Y700" s="277"/>
      <c r="AR700" t="str">
        <f t="shared" si="109"/>
        <v/>
      </c>
      <c r="AS700" t="str">
        <f t="shared" si="110"/>
        <v/>
      </c>
    </row>
    <row r="701" spans="1:45">
      <c r="A701" s="294"/>
      <c r="B701" s="295"/>
      <c r="C701" s="296"/>
      <c r="D701" s="296"/>
      <c r="E701" s="296"/>
      <c r="F701" s="296"/>
      <c r="G701" s="297"/>
      <c r="H701" s="303"/>
      <c r="I701" s="298"/>
      <c r="J701" s="298"/>
      <c r="K701" s="299"/>
      <c r="L701" s="304"/>
      <c r="M701" s="300"/>
      <c r="N701" s="301"/>
      <c r="P701" s="193" t="str">
        <f>IF(R701 = "", "", COUNT(R$4:$R701))</f>
        <v/>
      </c>
      <c r="Q701" s="193" t="str">
        <f t="shared" si="101"/>
        <v/>
      </c>
      <c r="R701" s="194" t="str">
        <f t="shared" si="102"/>
        <v/>
      </c>
      <c r="S701" s="195" t="str">
        <f t="shared" si="104"/>
        <v/>
      </c>
      <c r="T701" s="196" t="str">
        <f t="shared" si="105"/>
        <v/>
      </c>
      <c r="U701" s="197" t="str">
        <f t="shared" si="106"/>
        <v/>
      </c>
      <c r="V701" s="198" t="str">
        <f t="shared" si="103"/>
        <v/>
      </c>
      <c r="W701" s="339" t="str">
        <f t="shared" si="107"/>
        <v/>
      </c>
      <c r="X701" s="341" t="str">
        <f t="shared" si="108"/>
        <v/>
      </c>
      <c r="Y701" s="277"/>
      <c r="AR701" t="str">
        <f t="shared" si="109"/>
        <v/>
      </c>
      <c r="AS701" t="str">
        <f t="shared" si="110"/>
        <v/>
      </c>
    </row>
    <row r="702" spans="1:45">
      <c r="A702" s="294"/>
      <c r="B702" s="295"/>
      <c r="C702" s="296"/>
      <c r="D702" s="296"/>
      <c r="E702" s="296"/>
      <c r="F702" s="296"/>
      <c r="G702" s="297"/>
      <c r="H702" s="303"/>
      <c r="I702" s="298"/>
      <c r="J702" s="298"/>
      <c r="K702" s="299"/>
      <c r="L702" s="304"/>
      <c r="M702" s="300"/>
      <c r="N702" s="301"/>
      <c r="P702" s="193" t="str">
        <f>IF(R702 = "", "", COUNT(R$4:$R702))</f>
        <v/>
      </c>
      <c r="Q702" s="193" t="str">
        <f t="shared" si="101"/>
        <v/>
      </c>
      <c r="R702" s="194" t="str">
        <f t="shared" si="102"/>
        <v/>
      </c>
      <c r="S702" s="195" t="str">
        <f t="shared" si="104"/>
        <v/>
      </c>
      <c r="T702" s="196" t="str">
        <f t="shared" si="105"/>
        <v/>
      </c>
      <c r="U702" s="197" t="str">
        <f t="shared" si="106"/>
        <v/>
      </c>
      <c r="V702" s="198" t="str">
        <f t="shared" si="103"/>
        <v/>
      </c>
      <c r="W702" s="339" t="str">
        <f t="shared" si="107"/>
        <v/>
      </c>
      <c r="X702" s="341" t="str">
        <f t="shared" si="108"/>
        <v/>
      </c>
      <c r="Y702" s="277"/>
      <c r="AR702" t="str">
        <f t="shared" si="109"/>
        <v/>
      </c>
      <c r="AS702" t="str">
        <f t="shared" si="110"/>
        <v/>
      </c>
    </row>
    <row r="703" spans="1:45">
      <c r="A703" s="294"/>
      <c r="B703" s="295"/>
      <c r="C703" s="296"/>
      <c r="D703" s="296"/>
      <c r="E703" s="296"/>
      <c r="F703" s="296"/>
      <c r="G703" s="297"/>
      <c r="H703" s="303"/>
      <c r="I703" s="298"/>
      <c r="J703" s="298"/>
      <c r="K703" s="299"/>
      <c r="L703" s="304"/>
      <c r="M703" s="300"/>
      <c r="N703" s="301"/>
      <c r="P703" s="193" t="str">
        <f>IF(R703 = "", "", COUNT(R$4:$R703))</f>
        <v/>
      </c>
      <c r="Q703" s="193" t="str">
        <f t="shared" si="101"/>
        <v/>
      </c>
      <c r="R703" s="194" t="str">
        <f t="shared" si="102"/>
        <v/>
      </c>
      <c r="S703" s="195" t="str">
        <f t="shared" si="104"/>
        <v/>
      </c>
      <c r="T703" s="196" t="str">
        <f t="shared" si="105"/>
        <v/>
      </c>
      <c r="U703" s="197" t="str">
        <f t="shared" si="106"/>
        <v/>
      </c>
      <c r="V703" s="198" t="str">
        <f t="shared" si="103"/>
        <v/>
      </c>
      <c r="W703" s="339" t="str">
        <f t="shared" si="107"/>
        <v/>
      </c>
      <c r="X703" s="341" t="str">
        <f t="shared" si="108"/>
        <v/>
      </c>
      <c r="Y703" s="277"/>
      <c r="AR703" t="str">
        <f t="shared" si="109"/>
        <v/>
      </c>
      <c r="AS703" t="str">
        <f t="shared" si="110"/>
        <v/>
      </c>
    </row>
    <row r="704" spans="1:45">
      <c r="A704" s="294"/>
      <c r="B704" s="295"/>
      <c r="C704" s="296"/>
      <c r="D704" s="296"/>
      <c r="E704" s="296"/>
      <c r="F704" s="296"/>
      <c r="G704" s="297"/>
      <c r="H704" s="303"/>
      <c r="I704" s="298"/>
      <c r="J704" s="298"/>
      <c r="K704" s="299"/>
      <c r="L704" s="304"/>
      <c r="M704" s="300"/>
      <c r="N704" s="301"/>
      <c r="P704" s="193" t="str">
        <f>IF(R704 = "", "", COUNT(R$4:$R704))</f>
        <v/>
      </c>
      <c r="Q704" s="193" t="str">
        <f t="shared" si="101"/>
        <v/>
      </c>
      <c r="R704" s="194" t="str">
        <f t="shared" si="102"/>
        <v/>
      </c>
      <c r="S704" s="195" t="str">
        <f t="shared" si="104"/>
        <v/>
      </c>
      <c r="T704" s="196" t="str">
        <f t="shared" si="105"/>
        <v/>
      </c>
      <c r="U704" s="197" t="str">
        <f t="shared" si="106"/>
        <v/>
      </c>
      <c r="V704" s="198" t="str">
        <f t="shared" si="103"/>
        <v/>
      </c>
      <c r="W704" s="339" t="str">
        <f t="shared" si="107"/>
        <v/>
      </c>
      <c r="X704" s="341" t="str">
        <f t="shared" si="108"/>
        <v/>
      </c>
      <c r="Y704" s="277"/>
      <c r="AR704" t="str">
        <f t="shared" si="109"/>
        <v/>
      </c>
      <c r="AS704" t="str">
        <f t="shared" si="110"/>
        <v/>
      </c>
    </row>
    <row r="705" spans="1:45">
      <c r="A705" s="294"/>
      <c r="B705" s="295"/>
      <c r="C705" s="296"/>
      <c r="D705" s="296"/>
      <c r="E705" s="296"/>
      <c r="F705" s="296"/>
      <c r="G705" s="297"/>
      <c r="H705" s="303"/>
      <c r="I705" s="298"/>
      <c r="J705" s="298"/>
      <c r="K705" s="299"/>
      <c r="L705" s="304"/>
      <c r="M705" s="300"/>
      <c r="N705" s="301"/>
      <c r="P705" s="193" t="str">
        <f>IF(R705 = "", "", COUNT(R$4:$R705))</f>
        <v/>
      </c>
      <c r="Q705" s="193" t="str">
        <f t="shared" si="101"/>
        <v/>
      </c>
      <c r="R705" s="194" t="str">
        <f t="shared" si="102"/>
        <v/>
      </c>
      <c r="S705" s="195" t="str">
        <f t="shared" si="104"/>
        <v/>
      </c>
      <c r="T705" s="196" t="str">
        <f t="shared" si="105"/>
        <v/>
      </c>
      <c r="U705" s="197" t="str">
        <f t="shared" si="106"/>
        <v/>
      </c>
      <c r="V705" s="198" t="str">
        <f t="shared" si="103"/>
        <v/>
      </c>
      <c r="W705" s="339" t="str">
        <f t="shared" si="107"/>
        <v/>
      </c>
      <c r="X705" s="341" t="str">
        <f t="shared" si="108"/>
        <v/>
      </c>
      <c r="Y705" s="277"/>
      <c r="AR705" t="str">
        <f t="shared" si="109"/>
        <v/>
      </c>
      <c r="AS705" t="str">
        <f t="shared" si="110"/>
        <v/>
      </c>
    </row>
    <row r="706" spans="1:45">
      <c r="A706" s="294"/>
      <c r="B706" s="295"/>
      <c r="C706" s="296"/>
      <c r="D706" s="296"/>
      <c r="E706" s="296"/>
      <c r="F706" s="296"/>
      <c r="G706" s="297"/>
      <c r="H706" s="303"/>
      <c r="I706" s="298"/>
      <c r="J706" s="298"/>
      <c r="K706" s="299"/>
      <c r="L706" s="304"/>
      <c r="M706" s="300"/>
      <c r="N706" s="301"/>
      <c r="P706" s="193" t="str">
        <f>IF(R706 = "", "", COUNT(R$4:$R706))</f>
        <v/>
      </c>
      <c r="Q706" s="193" t="str">
        <f t="shared" si="101"/>
        <v/>
      </c>
      <c r="R706" s="194" t="str">
        <f t="shared" si="102"/>
        <v/>
      </c>
      <c r="S706" s="195" t="str">
        <f t="shared" si="104"/>
        <v/>
      </c>
      <c r="T706" s="196" t="str">
        <f t="shared" si="105"/>
        <v/>
      </c>
      <c r="U706" s="197" t="str">
        <f t="shared" si="106"/>
        <v/>
      </c>
      <c r="V706" s="198" t="str">
        <f t="shared" si="103"/>
        <v/>
      </c>
      <c r="W706" s="339" t="str">
        <f t="shared" si="107"/>
        <v/>
      </c>
      <c r="X706" s="341" t="str">
        <f t="shared" si="108"/>
        <v/>
      </c>
      <c r="Y706" s="277"/>
      <c r="AR706" t="str">
        <f t="shared" si="109"/>
        <v/>
      </c>
      <c r="AS706" t="str">
        <f t="shared" si="110"/>
        <v/>
      </c>
    </row>
    <row r="707" spans="1:45">
      <c r="A707" s="294"/>
      <c r="B707" s="295"/>
      <c r="C707" s="296"/>
      <c r="D707" s="296"/>
      <c r="E707" s="296"/>
      <c r="F707" s="296"/>
      <c r="G707" s="297"/>
      <c r="H707" s="303"/>
      <c r="I707" s="298"/>
      <c r="J707" s="298"/>
      <c r="K707" s="299"/>
      <c r="L707" s="304"/>
      <c r="M707" s="300"/>
      <c r="N707" s="301"/>
      <c r="P707" s="193" t="str">
        <f>IF(R707 = "", "", COUNT(R$4:$R707))</f>
        <v/>
      </c>
      <c r="Q707" s="193" t="str">
        <f t="shared" si="101"/>
        <v/>
      </c>
      <c r="R707" s="194" t="str">
        <f t="shared" si="102"/>
        <v/>
      </c>
      <c r="S707" s="195" t="str">
        <f t="shared" si="104"/>
        <v/>
      </c>
      <c r="T707" s="196" t="str">
        <f t="shared" si="105"/>
        <v/>
      </c>
      <c r="U707" s="197" t="str">
        <f t="shared" si="106"/>
        <v/>
      </c>
      <c r="V707" s="198" t="str">
        <f t="shared" si="103"/>
        <v/>
      </c>
      <c r="W707" s="339" t="str">
        <f t="shared" si="107"/>
        <v/>
      </c>
      <c r="X707" s="341" t="str">
        <f t="shared" si="108"/>
        <v/>
      </c>
      <c r="Y707" s="277"/>
      <c r="AR707" t="str">
        <f t="shared" si="109"/>
        <v/>
      </c>
      <c r="AS707" t="str">
        <f t="shared" si="110"/>
        <v/>
      </c>
    </row>
    <row r="708" spans="1:45">
      <c r="A708" s="294"/>
      <c r="B708" s="295"/>
      <c r="C708" s="296"/>
      <c r="D708" s="296"/>
      <c r="E708" s="296"/>
      <c r="F708" s="296"/>
      <c r="G708" s="297"/>
      <c r="H708" s="303"/>
      <c r="I708" s="298"/>
      <c r="J708" s="298"/>
      <c r="K708" s="299"/>
      <c r="L708" s="304"/>
      <c r="M708" s="300"/>
      <c r="N708" s="301"/>
      <c r="P708" s="193" t="str">
        <f>IF(R708 = "", "", COUNT(R$4:$R708))</f>
        <v/>
      </c>
      <c r="Q708" s="193" t="str">
        <f t="shared" ref="Q708:Q771" si="111">IF(C708 &gt; 0, YEAR(B708), "")</f>
        <v/>
      </c>
      <c r="R708" s="194" t="str">
        <f t="shared" ref="R708:R771" si="112">IF(A708="", "", IF(G708="",1,IF(G708="O",1,IF(G708="C",8.4,IF(G708="B",8.4,IF(G708="A",76.8,IF(G708="K",76.8,"ERR")))))))</f>
        <v/>
      </c>
      <c r="S708" s="195" t="str">
        <f t="shared" si="104"/>
        <v/>
      </c>
      <c r="T708" s="196" t="str">
        <f t="shared" si="105"/>
        <v/>
      </c>
      <c r="U708" s="197" t="str">
        <f t="shared" si="106"/>
        <v/>
      </c>
      <c r="V708" s="198" t="str">
        <f t="shared" ref="V708:V771" si="113">IF(IF(M708&lt;&gt;"",G708,"")=0, "O", IF(M708&lt;&gt;"",G708,""))</f>
        <v/>
      </c>
      <c r="W708" s="339" t="str">
        <f t="shared" si="107"/>
        <v/>
      </c>
      <c r="X708" s="341" t="str">
        <f t="shared" si="108"/>
        <v/>
      </c>
      <c r="Y708" s="277"/>
      <c r="AR708" t="str">
        <f t="shared" si="109"/>
        <v/>
      </c>
      <c r="AS708" t="str">
        <f t="shared" si="110"/>
        <v/>
      </c>
    </row>
    <row r="709" spans="1:45">
      <c r="A709" s="294"/>
      <c r="B709" s="295"/>
      <c r="C709" s="296"/>
      <c r="D709" s="296"/>
      <c r="E709" s="296"/>
      <c r="F709" s="296"/>
      <c r="G709" s="297"/>
      <c r="H709" s="303"/>
      <c r="I709" s="298"/>
      <c r="J709" s="298"/>
      <c r="K709" s="299"/>
      <c r="L709" s="304"/>
      <c r="M709" s="300"/>
      <c r="N709" s="301"/>
      <c r="P709" s="193" t="str">
        <f>IF(R709 = "", "", COUNT(R$4:$R709))</f>
        <v/>
      </c>
      <c r="Q709" s="193" t="str">
        <f t="shared" si="111"/>
        <v/>
      </c>
      <c r="R709" s="194" t="str">
        <f t="shared" si="112"/>
        <v/>
      </c>
      <c r="S709" s="195" t="str">
        <f t="shared" ref="S709:S772" si="114">IF(L709&lt;&gt;"",R709,"")</f>
        <v/>
      </c>
      <c r="T709" s="196" t="str">
        <f t="shared" ref="T709:T772" si="115">IF(IF(L709&lt;&gt;"",G709,"")=0, "O", IF(L709&lt;&gt;"",G709,""))</f>
        <v/>
      </c>
      <c r="U709" s="197" t="str">
        <f t="shared" ref="U709:U772" si="116">IF(M709&lt;&gt;"",R709,"")</f>
        <v/>
      </c>
      <c r="V709" s="198" t="str">
        <f t="shared" si="113"/>
        <v/>
      </c>
      <c r="W709" s="339" t="str">
        <f t="shared" ref="W709:W772" si="117">IF(N709&lt;&gt;"",R709,"")</f>
        <v/>
      </c>
      <c r="X709" s="341" t="str">
        <f t="shared" ref="X709:X772" si="118">IF(IF(N709&lt;&gt;"",G709,"")=0, "O", IF(N709&lt;&gt;"",G709,""))</f>
        <v/>
      </c>
      <c r="Y709" s="277"/>
      <c r="AR709" t="str">
        <f t="shared" ref="AR709:AR772" si="119">IF(P709&gt;0, P709, "")</f>
        <v/>
      </c>
      <c r="AS709" t="str">
        <f t="shared" ref="AS709:AS772" si="120">IF(OR(L709="Y",M709="Y",N709="Y"),"Y","")</f>
        <v/>
      </c>
    </row>
    <row r="710" spans="1:45">
      <c r="A710" s="294"/>
      <c r="B710" s="295"/>
      <c r="C710" s="296"/>
      <c r="D710" s="296"/>
      <c r="E710" s="296"/>
      <c r="F710" s="296"/>
      <c r="G710" s="297"/>
      <c r="H710" s="303"/>
      <c r="I710" s="298"/>
      <c r="J710" s="298"/>
      <c r="K710" s="299"/>
      <c r="L710" s="304"/>
      <c r="M710" s="300"/>
      <c r="N710" s="301"/>
      <c r="P710" s="193" t="str">
        <f>IF(R710 = "", "", COUNT(R$4:$R710))</f>
        <v/>
      </c>
      <c r="Q710" s="193" t="str">
        <f t="shared" si="111"/>
        <v/>
      </c>
      <c r="R710" s="194" t="str">
        <f t="shared" si="112"/>
        <v/>
      </c>
      <c r="S710" s="195" t="str">
        <f t="shared" si="114"/>
        <v/>
      </c>
      <c r="T710" s="196" t="str">
        <f t="shared" si="115"/>
        <v/>
      </c>
      <c r="U710" s="197" t="str">
        <f t="shared" si="116"/>
        <v/>
      </c>
      <c r="V710" s="198" t="str">
        <f t="shared" si="113"/>
        <v/>
      </c>
      <c r="W710" s="339" t="str">
        <f t="shared" si="117"/>
        <v/>
      </c>
      <c r="X710" s="341" t="str">
        <f t="shared" si="118"/>
        <v/>
      </c>
      <c r="Y710" s="277"/>
      <c r="AR710" t="str">
        <f t="shared" si="119"/>
        <v/>
      </c>
      <c r="AS710" t="str">
        <f t="shared" si="120"/>
        <v/>
      </c>
    </row>
    <row r="711" spans="1:45">
      <c r="A711" s="294"/>
      <c r="B711" s="295"/>
      <c r="C711" s="296"/>
      <c r="D711" s="296"/>
      <c r="E711" s="296"/>
      <c r="F711" s="296"/>
      <c r="G711" s="297"/>
      <c r="H711" s="303"/>
      <c r="I711" s="298"/>
      <c r="J711" s="298"/>
      <c r="K711" s="299"/>
      <c r="L711" s="304"/>
      <c r="M711" s="300"/>
      <c r="N711" s="301"/>
      <c r="P711" s="193" t="str">
        <f>IF(R711 = "", "", COUNT(R$4:$R711))</f>
        <v/>
      </c>
      <c r="Q711" s="193" t="str">
        <f t="shared" si="111"/>
        <v/>
      </c>
      <c r="R711" s="194" t="str">
        <f t="shared" si="112"/>
        <v/>
      </c>
      <c r="S711" s="195" t="str">
        <f t="shared" si="114"/>
        <v/>
      </c>
      <c r="T711" s="196" t="str">
        <f t="shared" si="115"/>
        <v/>
      </c>
      <c r="U711" s="197" t="str">
        <f t="shared" si="116"/>
        <v/>
      </c>
      <c r="V711" s="198" t="str">
        <f t="shared" si="113"/>
        <v/>
      </c>
      <c r="W711" s="339" t="str">
        <f t="shared" si="117"/>
        <v/>
      </c>
      <c r="X711" s="341" t="str">
        <f t="shared" si="118"/>
        <v/>
      </c>
      <c r="Y711" s="277"/>
      <c r="AR711" t="str">
        <f t="shared" si="119"/>
        <v/>
      </c>
      <c r="AS711" t="str">
        <f t="shared" si="120"/>
        <v/>
      </c>
    </row>
    <row r="712" spans="1:45">
      <c r="A712" s="294"/>
      <c r="B712" s="295"/>
      <c r="C712" s="296"/>
      <c r="D712" s="296"/>
      <c r="E712" s="296"/>
      <c r="F712" s="296"/>
      <c r="G712" s="297"/>
      <c r="H712" s="303"/>
      <c r="I712" s="298"/>
      <c r="J712" s="298"/>
      <c r="K712" s="299"/>
      <c r="L712" s="304"/>
      <c r="M712" s="300"/>
      <c r="N712" s="301"/>
      <c r="P712" s="193" t="str">
        <f>IF(R712 = "", "", COUNT(R$4:$R712))</f>
        <v/>
      </c>
      <c r="Q712" s="193" t="str">
        <f t="shared" si="111"/>
        <v/>
      </c>
      <c r="R712" s="194" t="str">
        <f t="shared" si="112"/>
        <v/>
      </c>
      <c r="S712" s="195" t="str">
        <f t="shared" si="114"/>
        <v/>
      </c>
      <c r="T712" s="196" t="str">
        <f t="shared" si="115"/>
        <v/>
      </c>
      <c r="U712" s="197" t="str">
        <f t="shared" si="116"/>
        <v/>
      </c>
      <c r="V712" s="198" t="str">
        <f t="shared" si="113"/>
        <v/>
      </c>
      <c r="W712" s="339" t="str">
        <f t="shared" si="117"/>
        <v/>
      </c>
      <c r="X712" s="341" t="str">
        <f t="shared" si="118"/>
        <v/>
      </c>
      <c r="Y712" s="277"/>
      <c r="AR712" t="str">
        <f t="shared" si="119"/>
        <v/>
      </c>
      <c r="AS712" t="str">
        <f t="shared" si="120"/>
        <v/>
      </c>
    </row>
    <row r="713" spans="1:45">
      <c r="A713" s="294"/>
      <c r="B713" s="295"/>
      <c r="C713" s="296"/>
      <c r="D713" s="296"/>
      <c r="E713" s="296"/>
      <c r="F713" s="296"/>
      <c r="G713" s="297"/>
      <c r="H713" s="303"/>
      <c r="I713" s="298"/>
      <c r="J713" s="298"/>
      <c r="K713" s="299"/>
      <c r="L713" s="304"/>
      <c r="M713" s="300"/>
      <c r="N713" s="301"/>
      <c r="P713" s="193" t="str">
        <f>IF(R713 = "", "", COUNT(R$4:$R713))</f>
        <v/>
      </c>
      <c r="Q713" s="193" t="str">
        <f t="shared" si="111"/>
        <v/>
      </c>
      <c r="R713" s="194" t="str">
        <f t="shared" si="112"/>
        <v/>
      </c>
      <c r="S713" s="195" t="str">
        <f t="shared" si="114"/>
        <v/>
      </c>
      <c r="T713" s="196" t="str">
        <f t="shared" si="115"/>
        <v/>
      </c>
      <c r="U713" s="197" t="str">
        <f t="shared" si="116"/>
        <v/>
      </c>
      <c r="V713" s="198" t="str">
        <f t="shared" si="113"/>
        <v/>
      </c>
      <c r="W713" s="339" t="str">
        <f t="shared" si="117"/>
        <v/>
      </c>
      <c r="X713" s="341" t="str">
        <f t="shared" si="118"/>
        <v/>
      </c>
      <c r="Y713" s="277"/>
      <c r="AR713" t="str">
        <f t="shared" si="119"/>
        <v/>
      </c>
      <c r="AS713" t="str">
        <f t="shared" si="120"/>
        <v/>
      </c>
    </row>
    <row r="714" spans="1:45">
      <c r="A714" s="294"/>
      <c r="B714" s="295"/>
      <c r="C714" s="296"/>
      <c r="D714" s="296"/>
      <c r="E714" s="296"/>
      <c r="F714" s="296"/>
      <c r="G714" s="297"/>
      <c r="H714" s="303"/>
      <c r="I714" s="298"/>
      <c r="J714" s="298"/>
      <c r="K714" s="299"/>
      <c r="L714" s="304"/>
      <c r="M714" s="300"/>
      <c r="N714" s="301"/>
      <c r="P714" s="193" t="str">
        <f>IF(R714 = "", "", COUNT(R$4:$R714))</f>
        <v/>
      </c>
      <c r="Q714" s="193" t="str">
        <f t="shared" si="111"/>
        <v/>
      </c>
      <c r="R714" s="194" t="str">
        <f t="shared" si="112"/>
        <v/>
      </c>
      <c r="S714" s="195" t="str">
        <f t="shared" si="114"/>
        <v/>
      </c>
      <c r="T714" s="196" t="str">
        <f t="shared" si="115"/>
        <v/>
      </c>
      <c r="U714" s="197" t="str">
        <f t="shared" si="116"/>
        <v/>
      </c>
      <c r="V714" s="198" t="str">
        <f t="shared" si="113"/>
        <v/>
      </c>
      <c r="W714" s="339" t="str">
        <f t="shared" si="117"/>
        <v/>
      </c>
      <c r="X714" s="341" t="str">
        <f t="shared" si="118"/>
        <v/>
      </c>
      <c r="Y714" s="277"/>
      <c r="AR714" t="str">
        <f t="shared" si="119"/>
        <v/>
      </c>
      <c r="AS714" t="str">
        <f t="shared" si="120"/>
        <v/>
      </c>
    </row>
    <row r="715" spans="1:45">
      <c r="A715" s="294"/>
      <c r="B715" s="295"/>
      <c r="C715" s="296"/>
      <c r="D715" s="296"/>
      <c r="E715" s="296"/>
      <c r="F715" s="296"/>
      <c r="G715" s="297"/>
      <c r="H715" s="303"/>
      <c r="I715" s="298"/>
      <c r="J715" s="298"/>
      <c r="K715" s="299"/>
      <c r="L715" s="304"/>
      <c r="M715" s="300"/>
      <c r="N715" s="301"/>
      <c r="P715" s="193" t="str">
        <f>IF(R715 = "", "", COUNT(R$4:$R715))</f>
        <v/>
      </c>
      <c r="Q715" s="193" t="str">
        <f t="shared" si="111"/>
        <v/>
      </c>
      <c r="R715" s="194" t="str">
        <f t="shared" si="112"/>
        <v/>
      </c>
      <c r="S715" s="195" t="str">
        <f t="shared" si="114"/>
        <v/>
      </c>
      <c r="T715" s="196" t="str">
        <f t="shared" si="115"/>
        <v/>
      </c>
      <c r="U715" s="197" t="str">
        <f t="shared" si="116"/>
        <v/>
      </c>
      <c r="V715" s="198" t="str">
        <f t="shared" si="113"/>
        <v/>
      </c>
      <c r="W715" s="339" t="str">
        <f t="shared" si="117"/>
        <v/>
      </c>
      <c r="X715" s="341" t="str">
        <f t="shared" si="118"/>
        <v/>
      </c>
      <c r="Y715" s="277"/>
      <c r="AR715" t="str">
        <f t="shared" si="119"/>
        <v/>
      </c>
      <c r="AS715" t="str">
        <f t="shared" si="120"/>
        <v/>
      </c>
    </row>
    <row r="716" spans="1:45">
      <c r="A716" s="294"/>
      <c r="B716" s="295"/>
      <c r="C716" s="296"/>
      <c r="D716" s="296"/>
      <c r="E716" s="296"/>
      <c r="F716" s="296"/>
      <c r="G716" s="297"/>
      <c r="H716" s="303"/>
      <c r="I716" s="298"/>
      <c r="J716" s="298"/>
      <c r="K716" s="299"/>
      <c r="L716" s="304"/>
      <c r="M716" s="300"/>
      <c r="N716" s="301"/>
      <c r="P716" s="193" t="str">
        <f>IF(R716 = "", "", COUNT(R$4:$R716))</f>
        <v/>
      </c>
      <c r="Q716" s="193" t="str">
        <f t="shared" si="111"/>
        <v/>
      </c>
      <c r="R716" s="194" t="str">
        <f t="shared" si="112"/>
        <v/>
      </c>
      <c r="S716" s="195" t="str">
        <f t="shared" si="114"/>
        <v/>
      </c>
      <c r="T716" s="196" t="str">
        <f t="shared" si="115"/>
        <v/>
      </c>
      <c r="U716" s="197" t="str">
        <f t="shared" si="116"/>
        <v/>
      </c>
      <c r="V716" s="198" t="str">
        <f t="shared" si="113"/>
        <v/>
      </c>
      <c r="W716" s="339" t="str">
        <f t="shared" si="117"/>
        <v/>
      </c>
      <c r="X716" s="341" t="str">
        <f t="shared" si="118"/>
        <v/>
      </c>
      <c r="Y716" s="277"/>
      <c r="AR716" t="str">
        <f t="shared" si="119"/>
        <v/>
      </c>
      <c r="AS716" t="str">
        <f t="shared" si="120"/>
        <v/>
      </c>
    </row>
    <row r="717" spans="1:45">
      <c r="A717" s="294"/>
      <c r="B717" s="295"/>
      <c r="C717" s="296"/>
      <c r="D717" s="296"/>
      <c r="E717" s="296"/>
      <c r="F717" s="296"/>
      <c r="G717" s="297"/>
      <c r="H717" s="303"/>
      <c r="I717" s="298"/>
      <c r="J717" s="298"/>
      <c r="K717" s="299"/>
      <c r="L717" s="304"/>
      <c r="M717" s="300"/>
      <c r="N717" s="301"/>
      <c r="P717" s="193" t="str">
        <f>IF(R717 = "", "", COUNT(R$4:$R717))</f>
        <v/>
      </c>
      <c r="Q717" s="193" t="str">
        <f t="shared" si="111"/>
        <v/>
      </c>
      <c r="R717" s="194" t="str">
        <f t="shared" si="112"/>
        <v/>
      </c>
      <c r="S717" s="195" t="str">
        <f t="shared" si="114"/>
        <v/>
      </c>
      <c r="T717" s="196" t="str">
        <f t="shared" si="115"/>
        <v/>
      </c>
      <c r="U717" s="197" t="str">
        <f t="shared" si="116"/>
        <v/>
      </c>
      <c r="V717" s="198" t="str">
        <f t="shared" si="113"/>
        <v/>
      </c>
      <c r="W717" s="339" t="str">
        <f t="shared" si="117"/>
        <v/>
      </c>
      <c r="X717" s="341" t="str">
        <f t="shared" si="118"/>
        <v/>
      </c>
      <c r="Y717" s="277"/>
      <c r="AR717" t="str">
        <f t="shared" si="119"/>
        <v/>
      </c>
      <c r="AS717" t="str">
        <f t="shared" si="120"/>
        <v/>
      </c>
    </row>
    <row r="718" spans="1:45">
      <c r="A718" s="294"/>
      <c r="B718" s="295"/>
      <c r="C718" s="296"/>
      <c r="D718" s="296"/>
      <c r="E718" s="296"/>
      <c r="F718" s="296"/>
      <c r="G718" s="297"/>
      <c r="H718" s="303"/>
      <c r="I718" s="298"/>
      <c r="J718" s="298"/>
      <c r="K718" s="299"/>
      <c r="L718" s="304"/>
      <c r="M718" s="300"/>
      <c r="N718" s="301"/>
      <c r="P718" s="193" t="str">
        <f>IF(R718 = "", "", COUNT(R$4:$R718))</f>
        <v/>
      </c>
      <c r="Q718" s="193" t="str">
        <f t="shared" si="111"/>
        <v/>
      </c>
      <c r="R718" s="194" t="str">
        <f t="shared" si="112"/>
        <v/>
      </c>
      <c r="S718" s="195" t="str">
        <f t="shared" si="114"/>
        <v/>
      </c>
      <c r="T718" s="196" t="str">
        <f t="shared" si="115"/>
        <v/>
      </c>
      <c r="U718" s="197" t="str">
        <f t="shared" si="116"/>
        <v/>
      </c>
      <c r="V718" s="198" t="str">
        <f t="shared" si="113"/>
        <v/>
      </c>
      <c r="W718" s="339" t="str">
        <f t="shared" si="117"/>
        <v/>
      </c>
      <c r="X718" s="341" t="str">
        <f t="shared" si="118"/>
        <v/>
      </c>
      <c r="Y718" s="277"/>
      <c r="AR718" t="str">
        <f t="shared" si="119"/>
        <v/>
      </c>
      <c r="AS718" t="str">
        <f t="shared" si="120"/>
        <v/>
      </c>
    </row>
    <row r="719" spans="1:45">
      <c r="A719" s="294"/>
      <c r="B719" s="295"/>
      <c r="C719" s="296"/>
      <c r="D719" s="296"/>
      <c r="E719" s="296"/>
      <c r="F719" s="296"/>
      <c r="G719" s="297"/>
      <c r="H719" s="303"/>
      <c r="I719" s="298"/>
      <c r="J719" s="298"/>
      <c r="K719" s="299"/>
      <c r="L719" s="304"/>
      <c r="M719" s="300"/>
      <c r="N719" s="301"/>
      <c r="P719" s="193" t="str">
        <f>IF(R719 = "", "", COUNT(R$4:$R719))</f>
        <v/>
      </c>
      <c r="Q719" s="193" t="str">
        <f t="shared" si="111"/>
        <v/>
      </c>
      <c r="R719" s="194" t="str">
        <f t="shared" si="112"/>
        <v/>
      </c>
      <c r="S719" s="195" t="str">
        <f t="shared" si="114"/>
        <v/>
      </c>
      <c r="T719" s="196" t="str">
        <f t="shared" si="115"/>
        <v/>
      </c>
      <c r="U719" s="197" t="str">
        <f t="shared" si="116"/>
        <v/>
      </c>
      <c r="V719" s="198" t="str">
        <f t="shared" si="113"/>
        <v/>
      </c>
      <c r="W719" s="339" t="str">
        <f t="shared" si="117"/>
        <v/>
      </c>
      <c r="X719" s="341" t="str">
        <f t="shared" si="118"/>
        <v/>
      </c>
      <c r="Y719" s="277"/>
      <c r="AR719" t="str">
        <f t="shared" si="119"/>
        <v/>
      </c>
      <c r="AS719" t="str">
        <f t="shared" si="120"/>
        <v/>
      </c>
    </row>
    <row r="720" spans="1:45">
      <c r="A720" s="294"/>
      <c r="B720" s="295"/>
      <c r="C720" s="296"/>
      <c r="D720" s="296"/>
      <c r="E720" s="296"/>
      <c r="F720" s="296"/>
      <c r="G720" s="297"/>
      <c r="H720" s="303"/>
      <c r="I720" s="298"/>
      <c r="J720" s="298"/>
      <c r="K720" s="299"/>
      <c r="L720" s="304"/>
      <c r="M720" s="300"/>
      <c r="N720" s="301"/>
      <c r="P720" s="193" t="str">
        <f>IF(R720 = "", "", COUNT(R$4:$R720))</f>
        <v/>
      </c>
      <c r="Q720" s="193" t="str">
        <f t="shared" si="111"/>
        <v/>
      </c>
      <c r="R720" s="194" t="str">
        <f t="shared" si="112"/>
        <v/>
      </c>
      <c r="S720" s="195" t="str">
        <f t="shared" si="114"/>
        <v/>
      </c>
      <c r="T720" s="196" t="str">
        <f t="shared" si="115"/>
        <v/>
      </c>
      <c r="U720" s="197" t="str">
        <f t="shared" si="116"/>
        <v/>
      </c>
      <c r="V720" s="198" t="str">
        <f t="shared" si="113"/>
        <v/>
      </c>
      <c r="W720" s="339" t="str">
        <f t="shared" si="117"/>
        <v/>
      </c>
      <c r="X720" s="341" t="str">
        <f t="shared" si="118"/>
        <v/>
      </c>
      <c r="Y720" s="277"/>
      <c r="AR720" t="str">
        <f t="shared" si="119"/>
        <v/>
      </c>
      <c r="AS720" t="str">
        <f t="shared" si="120"/>
        <v/>
      </c>
    </row>
    <row r="721" spans="1:45">
      <c r="A721" s="294"/>
      <c r="B721" s="295"/>
      <c r="C721" s="296"/>
      <c r="D721" s="296"/>
      <c r="E721" s="296"/>
      <c r="F721" s="296"/>
      <c r="G721" s="297"/>
      <c r="H721" s="303"/>
      <c r="I721" s="298"/>
      <c r="J721" s="298"/>
      <c r="K721" s="299"/>
      <c r="L721" s="304"/>
      <c r="M721" s="300"/>
      <c r="N721" s="301"/>
      <c r="P721" s="193" t="str">
        <f>IF(R721 = "", "", COUNT(R$4:$R721))</f>
        <v/>
      </c>
      <c r="Q721" s="193" t="str">
        <f t="shared" si="111"/>
        <v/>
      </c>
      <c r="R721" s="194" t="str">
        <f t="shared" si="112"/>
        <v/>
      </c>
      <c r="S721" s="195" t="str">
        <f t="shared" si="114"/>
        <v/>
      </c>
      <c r="T721" s="196" t="str">
        <f t="shared" si="115"/>
        <v/>
      </c>
      <c r="U721" s="197" t="str">
        <f t="shared" si="116"/>
        <v/>
      </c>
      <c r="V721" s="198" t="str">
        <f t="shared" si="113"/>
        <v/>
      </c>
      <c r="W721" s="339" t="str">
        <f t="shared" si="117"/>
        <v/>
      </c>
      <c r="X721" s="341" t="str">
        <f t="shared" si="118"/>
        <v/>
      </c>
      <c r="Y721" s="277"/>
      <c r="AR721" t="str">
        <f t="shared" si="119"/>
        <v/>
      </c>
      <c r="AS721" t="str">
        <f t="shared" si="120"/>
        <v/>
      </c>
    </row>
    <row r="722" spans="1:45">
      <c r="A722" s="294"/>
      <c r="B722" s="295"/>
      <c r="C722" s="296"/>
      <c r="D722" s="296"/>
      <c r="E722" s="296"/>
      <c r="F722" s="296"/>
      <c r="G722" s="297"/>
      <c r="H722" s="303"/>
      <c r="I722" s="298"/>
      <c r="J722" s="298"/>
      <c r="K722" s="299"/>
      <c r="L722" s="304"/>
      <c r="M722" s="300"/>
      <c r="N722" s="301"/>
      <c r="P722" s="193" t="str">
        <f>IF(R722 = "", "", COUNT(R$4:$R722))</f>
        <v/>
      </c>
      <c r="Q722" s="193" t="str">
        <f t="shared" si="111"/>
        <v/>
      </c>
      <c r="R722" s="194" t="str">
        <f t="shared" si="112"/>
        <v/>
      </c>
      <c r="S722" s="195" t="str">
        <f t="shared" si="114"/>
        <v/>
      </c>
      <c r="T722" s="196" t="str">
        <f t="shared" si="115"/>
        <v/>
      </c>
      <c r="U722" s="197" t="str">
        <f t="shared" si="116"/>
        <v/>
      </c>
      <c r="V722" s="198" t="str">
        <f t="shared" si="113"/>
        <v/>
      </c>
      <c r="W722" s="339" t="str">
        <f t="shared" si="117"/>
        <v/>
      </c>
      <c r="X722" s="341" t="str">
        <f t="shared" si="118"/>
        <v/>
      </c>
      <c r="Y722" s="277"/>
      <c r="AR722" t="str">
        <f t="shared" si="119"/>
        <v/>
      </c>
      <c r="AS722" t="str">
        <f t="shared" si="120"/>
        <v/>
      </c>
    </row>
    <row r="723" spans="1:45">
      <c r="A723" s="294"/>
      <c r="B723" s="295"/>
      <c r="C723" s="296"/>
      <c r="D723" s="296"/>
      <c r="E723" s="296"/>
      <c r="F723" s="296"/>
      <c r="G723" s="297"/>
      <c r="H723" s="303"/>
      <c r="I723" s="298"/>
      <c r="J723" s="298"/>
      <c r="K723" s="299"/>
      <c r="L723" s="304"/>
      <c r="M723" s="300"/>
      <c r="N723" s="301"/>
      <c r="P723" s="193" t="str">
        <f>IF(R723 = "", "", COUNT(R$4:$R723))</f>
        <v/>
      </c>
      <c r="Q723" s="193" t="str">
        <f t="shared" si="111"/>
        <v/>
      </c>
      <c r="R723" s="194" t="str">
        <f t="shared" si="112"/>
        <v/>
      </c>
      <c r="S723" s="195" t="str">
        <f t="shared" si="114"/>
        <v/>
      </c>
      <c r="T723" s="196" t="str">
        <f t="shared" si="115"/>
        <v/>
      </c>
      <c r="U723" s="197" t="str">
        <f t="shared" si="116"/>
        <v/>
      </c>
      <c r="V723" s="198" t="str">
        <f t="shared" si="113"/>
        <v/>
      </c>
      <c r="W723" s="339" t="str">
        <f t="shared" si="117"/>
        <v/>
      </c>
      <c r="X723" s="341" t="str">
        <f t="shared" si="118"/>
        <v/>
      </c>
      <c r="Y723" s="277"/>
      <c r="AR723" t="str">
        <f t="shared" si="119"/>
        <v/>
      </c>
      <c r="AS723" t="str">
        <f t="shared" si="120"/>
        <v/>
      </c>
    </row>
    <row r="724" spans="1:45">
      <c r="A724" s="294"/>
      <c r="B724" s="295"/>
      <c r="C724" s="296"/>
      <c r="D724" s="296"/>
      <c r="E724" s="296"/>
      <c r="F724" s="296"/>
      <c r="G724" s="297"/>
      <c r="H724" s="303"/>
      <c r="I724" s="298"/>
      <c r="J724" s="298"/>
      <c r="K724" s="299"/>
      <c r="L724" s="304"/>
      <c r="M724" s="300"/>
      <c r="N724" s="301"/>
      <c r="P724" s="193" t="str">
        <f>IF(R724 = "", "", COUNT(R$4:$R724))</f>
        <v/>
      </c>
      <c r="Q724" s="193" t="str">
        <f t="shared" si="111"/>
        <v/>
      </c>
      <c r="R724" s="194" t="str">
        <f t="shared" si="112"/>
        <v/>
      </c>
      <c r="S724" s="195" t="str">
        <f t="shared" si="114"/>
        <v/>
      </c>
      <c r="T724" s="196" t="str">
        <f t="shared" si="115"/>
        <v/>
      </c>
      <c r="U724" s="197" t="str">
        <f t="shared" si="116"/>
        <v/>
      </c>
      <c r="V724" s="198" t="str">
        <f t="shared" si="113"/>
        <v/>
      </c>
      <c r="W724" s="339" t="str">
        <f t="shared" si="117"/>
        <v/>
      </c>
      <c r="X724" s="341" t="str">
        <f t="shared" si="118"/>
        <v/>
      </c>
      <c r="Y724" s="277"/>
      <c r="AR724" t="str">
        <f t="shared" si="119"/>
        <v/>
      </c>
      <c r="AS724" t="str">
        <f t="shared" si="120"/>
        <v/>
      </c>
    </row>
    <row r="725" spans="1:45">
      <c r="A725" s="294"/>
      <c r="B725" s="295"/>
      <c r="C725" s="296"/>
      <c r="D725" s="296"/>
      <c r="E725" s="296"/>
      <c r="F725" s="296"/>
      <c r="G725" s="297"/>
      <c r="H725" s="303"/>
      <c r="I725" s="298"/>
      <c r="J725" s="298"/>
      <c r="K725" s="299"/>
      <c r="L725" s="304"/>
      <c r="M725" s="300"/>
      <c r="N725" s="301"/>
      <c r="P725" s="193" t="str">
        <f>IF(R725 = "", "", COUNT(R$4:$R725))</f>
        <v/>
      </c>
      <c r="Q725" s="193" t="str">
        <f t="shared" si="111"/>
        <v/>
      </c>
      <c r="R725" s="194" t="str">
        <f t="shared" si="112"/>
        <v/>
      </c>
      <c r="S725" s="195" t="str">
        <f t="shared" si="114"/>
        <v/>
      </c>
      <c r="T725" s="196" t="str">
        <f t="shared" si="115"/>
        <v/>
      </c>
      <c r="U725" s="197" t="str">
        <f t="shared" si="116"/>
        <v/>
      </c>
      <c r="V725" s="198" t="str">
        <f t="shared" si="113"/>
        <v/>
      </c>
      <c r="W725" s="339" t="str">
        <f t="shared" si="117"/>
        <v/>
      </c>
      <c r="X725" s="341" t="str">
        <f t="shared" si="118"/>
        <v/>
      </c>
      <c r="Y725" s="277"/>
      <c r="AR725" t="str">
        <f t="shared" si="119"/>
        <v/>
      </c>
      <c r="AS725" t="str">
        <f t="shared" si="120"/>
        <v/>
      </c>
    </row>
    <row r="726" spans="1:45">
      <c r="A726" s="294"/>
      <c r="B726" s="295"/>
      <c r="C726" s="296"/>
      <c r="D726" s="296"/>
      <c r="E726" s="296"/>
      <c r="F726" s="296"/>
      <c r="G726" s="297"/>
      <c r="H726" s="303"/>
      <c r="I726" s="298"/>
      <c r="J726" s="298"/>
      <c r="K726" s="299"/>
      <c r="L726" s="304"/>
      <c r="M726" s="300"/>
      <c r="N726" s="301"/>
      <c r="P726" s="193" t="str">
        <f>IF(R726 = "", "", COUNT(R$4:$R726))</f>
        <v/>
      </c>
      <c r="Q726" s="193" t="str">
        <f t="shared" si="111"/>
        <v/>
      </c>
      <c r="R726" s="194" t="str">
        <f t="shared" si="112"/>
        <v/>
      </c>
      <c r="S726" s="195" t="str">
        <f t="shared" si="114"/>
        <v/>
      </c>
      <c r="T726" s="196" t="str">
        <f t="shared" si="115"/>
        <v/>
      </c>
      <c r="U726" s="197" t="str">
        <f t="shared" si="116"/>
        <v/>
      </c>
      <c r="V726" s="198" t="str">
        <f t="shared" si="113"/>
        <v/>
      </c>
      <c r="W726" s="339" t="str">
        <f t="shared" si="117"/>
        <v/>
      </c>
      <c r="X726" s="341" t="str">
        <f t="shared" si="118"/>
        <v/>
      </c>
      <c r="Y726" s="277"/>
      <c r="AR726" t="str">
        <f t="shared" si="119"/>
        <v/>
      </c>
      <c r="AS726" t="str">
        <f t="shared" si="120"/>
        <v/>
      </c>
    </row>
    <row r="727" spans="1:45">
      <c r="A727" s="294"/>
      <c r="B727" s="295"/>
      <c r="C727" s="296"/>
      <c r="D727" s="296"/>
      <c r="E727" s="296"/>
      <c r="F727" s="296"/>
      <c r="G727" s="297"/>
      <c r="H727" s="303"/>
      <c r="I727" s="298"/>
      <c r="J727" s="298"/>
      <c r="K727" s="299"/>
      <c r="L727" s="304"/>
      <c r="M727" s="300"/>
      <c r="N727" s="301"/>
      <c r="P727" s="193" t="str">
        <f>IF(R727 = "", "", COUNT(R$4:$R727))</f>
        <v/>
      </c>
      <c r="Q727" s="193" t="str">
        <f t="shared" si="111"/>
        <v/>
      </c>
      <c r="R727" s="194" t="str">
        <f t="shared" si="112"/>
        <v/>
      </c>
      <c r="S727" s="195" t="str">
        <f t="shared" si="114"/>
        <v/>
      </c>
      <c r="T727" s="196" t="str">
        <f t="shared" si="115"/>
        <v/>
      </c>
      <c r="U727" s="197" t="str">
        <f t="shared" si="116"/>
        <v/>
      </c>
      <c r="V727" s="198" t="str">
        <f t="shared" si="113"/>
        <v/>
      </c>
      <c r="W727" s="339" t="str">
        <f t="shared" si="117"/>
        <v/>
      </c>
      <c r="X727" s="341" t="str">
        <f t="shared" si="118"/>
        <v/>
      </c>
      <c r="Y727" s="277"/>
      <c r="AR727" t="str">
        <f t="shared" si="119"/>
        <v/>
      </c>
      <c r="AS727" t="str">
        <f t="shared" si="120"/>
        <v/>
      </c>
    </row>
    <row r="728" spans="1:45">
      <c r="A728" s="294"/>
      <c r="B728" s="295"/>
      <c r="C728" s="296"/>
      <c r="D728" s="296"/>
      <c r="E728" s="296"/>
      <c r="F728" s="296"/>
      <c r="G728" s="297"/>
      <c r="H728" s="303"/>
      <c r="I728" s="298"/>
      <c r="J728" s="298"/>
      <c r="K728" s="299"/>
      <c r="L728" s="304"/>
      <c r="M728" s="300"/>
      <c r="N728" s="301"/>
      <c r="P728" s="193" t="str">
        <f>IF(R728 = "", "", COUNT(R$4:$R728))</f>
        <v/>
      </c>
      <c r="Q728" s="193" t="str">
        <f t="shared" si="111"/>
        <v/>
      </c>
      <c r="R728" s="194" t="str">
        <f t="shared" si="112"/>
        <v/>
      </c>
      <c r="S728" s="195" t="str">
        <f t="shared" si="114"/>
        <v/>
      </c>
      <c r="T728" s="196" t="str">
        <f t="shared" si="115"/>
        <v/>
      </c>
      <c r="U728" s="197" t="str">
        <f t="shared" si="116"/>
        <v/>
      </c>
      <c r="V728" s="198" t="str">
        <f t="shared" si="113"/>
        <v/>
      </c>
      <c r="W728" s="339" t="str">
        <f t="shared" si="117"/>
        <v/>
      </c>
      <c r="X728" s="341" t="str">
        <f t="shared" si="118"/>
        <v/>
      </c>
      <c r="Y728" s="277"/>
      <c r="AR728" t="str">
        <f t="shared" si="119"/>
        <v/>
      </c>
      <c r="AS728" t="str">
        <f t="shared" si="120"/>
        <v/>
      </c>
    </row>
    <row r="729" spans="1:45">
      <c r="A729" s="294"/>
      <c r="B729" s="295"/>
      <c r="C729" s="296"/>
      <c r="D729" s="296"/>
      <c r="E729" s="296"/>
      <c r="F729" s="296"/>
      <c r="G729" s="297"/>
      <c r="H729" s="303"/>
      <c r="I729" s="298"/>
      <c r="J729" s="298"/>
      <c r="K729" s="299"/>
      <c r="L729" s="304"/>
      <c r="M729" s="300"/>
      <c r="N729" s="301"/>
      <c r="P729" s="193" t="str">
        <f>IF(R729 = "", "", COUNT(R$4:$R729))</f>
        <v/>
      </c>
      <c r="Q729" s="193" t="str">
        <f t="shared" si="111"/>
        <v/>
      </c>
      <c r="R729" s="194" t="str">
        <f t="shared" si="112"/>
        <v/>
      </c>
      <c r="S729" s="195" t="str">
        <f t="shared" si="114"/>
        <v/>
      </c>
      <c r="T729" s="196" t="str">
        <f t="shared" si="115"/>
        <v/>
      </c>
      <c r="U729" s="197" t="str">
        <f t="shared" si="116"/>
        <v/>
      </c>
      <c r="V729" s="198" t="str">
        <f t="shared" si="113"/>
        <v/>
      </c>
      <c r="W729" s="339" t="str">
        <f t="shared" si="117"/>
        <v/>
      </c>
      <c r="X729" s="341" t="str">
        <f t="shared" si="118"/>
        <v/>
      </c>
      <c r="Y729" s="277"/>
      <c r="AR729" t="str">
        <f t="shared" si="119"/>
        <v/>
      </c>
      <c r="AS729" t="str">
        <f t="shared" si="120"/>
        <v/>
      </c>
    </row>
    <row r="730" spans="1:45">
      <c r="A730" s="294"/>
      <c r="B730" s="295"/>
      <c r="C730" s="296"/>
      <c r="D730" s="296"/>
      <c r="E730" s="296"/>
      <c r="F730" s="296"/>
      <c r="G730" s="297"/>
      <c r="H730" s="303"/>
      <c r="I730" s="298"/>
      <c r="J730" s="298"/>
      <c r="K730" s="299"/>
      <c r="L730" s="304"/>
      <c r="M730" s="300"/>
      <c r="N730" s="301"/>
      <c r="P730" s="193" t="str">
        <f>IF(R730 = "", "", COUNT(R$4:$R730))</f>
        <v/>
      </c>
      <c r="Q730" s="193" t="str">
        <f t="shared" si="111"/>
        <v/>
      </c>
      <c r="R730" s="194" t="str">
        <f t="shared" si="112"/>
        <v/>
      </c>
      <c r="S730" s="195" t="str">
        <f t="shared" si="114"/>
        <v/>
      </c>
      <c r="T730" s="196" t="str">
        <f t="shared" si="115"/>
        <v/>
      </c>
      <c r="U730" s="197" t="str">
        <f t="shared" si="116"/>
        <v/>
      </c>
      <c r="V730" s="198" t="str">
        <f t="shared" si="113"/>
        <v/>
      </c>
      <c r="W730" s="339" t="str">
        <f t="shared" si="117"/>
        <v/>
      </c>
      <c r="X730" s="341" t="str">
        <f t="shared" si="118"/>
        <v/>
      </c>
      <c r="Y730" s="277"/>
      <c r="AR730" t="str">
        <f t="shared" si="119"/>
        <v/>
      </c>
      <c r="AS730" t="str">
        <f t="shared" si="120"/>
        <v/>
      </c>
    </row>
    <row r="731" spans="1:45">
      <c r="A731" s="294"/>
      <c r="B731" s="295"/>
      <c r="C731" s="296"/>
      <c r="D731" s="296"/>
      <c r="E731" s="296"/>
      <c r="F731" s="296"/>
      <c r="G731" s="297"/>
      <c r="H731" s="303"/>
      <c r="I731" s="298"/>
      <c r="J731" s="298"/>
      <c r="K731" s="299"/>
      <c r="L731" s="304"/>
      <c r="M731" s="300"/>
      <c r="N731" s="301"/>
      <c r="P731" s="193" t="str">
        <f>IF(R731 = "", "", COUNT(R$4:$R731))</f>
        <v/>
      </c>
      <c r="Q731" s="193" t="str">
        <f t="shared" si="111"/>
        <v/>
      </c>
      <c r="R731" s="194" t="str">
        <f t="shared" si="112"/>
        <v/>
      </c>
      <c r="S731" s="195" t="str">
        <f t="shared" si="114"/>
        <v/>
      </c>
      <c r="T731" s="196" t="str">
        <f t="shared" si="115"/>
        <v/>
      </c>
      <c r="U731" s="197" t="str">
        <f t="shared" si="116"/>
        <v/>
      </c>
      <c r="V731" s="198" t="str">
        <f t="shared" si="113"/>
        <v/>
      </c>
      <c r="W731" s="339" t="str">
        <f t="shared" si="117"/>
        <v/>
      </c>
      <c r="X731" s="341" t="str">
        <f t="shared" si="118"/>
        <v/>
      </c>
      <c r="Y731" s="277"/>
      <c r="AR731" t="str">
        <f t="shared" si="119"/>
        <v/>
      </c>
      <c r="AS731" t="str">
        <f t="shared" si="120"/>
        <v/>
      </c>
    </row>
    <row r="732" spans="1:45">
      <c r="A732" s="294"/>
      <c r="B732" s="295"/>
      <c r="C732" s="296"/>
      <c r="D732" s="296"/>
      <c r="E732" s="296"/>
      <c r="F732" s="296"/>
      <c r="G732" s="297"/>
      <c r="H732" s="303"/>
      <c r="I732" s="298"/>
      <c r="J732" s="298"/>
      <c r="K732" s="299"/>
      <c r="L732" s="304"/>
      <c r="M732" s="300"/>
      <c r="N732" s="301"/>
      <c r="P732" s="193" t="str">
        <f>IF(R732 = "", "", COUNT(R$4:$R732))</f>
        <v/>
      </c>
      <c r="Q732" s="193" t="str">
        <f t="shared" si="111"/>
        <v/>
      </c>
      <c r="R732" s="194" t="str">
        <f t="shared" si="112"/>
        <v/>
      </c>
      <c r="S732" s="195" t="str">
        <f t="shared" si="114"/>
        <v/>
      </c>
      <c r="T732" s="196" t="str">
        <f t="shared" si="115"/>
        <v/>
      </c>
      <c r="U732" s="197" t="str">
        <f t="shared" si="116"/>
        <v/>
      </c>
      <c r="V732" s="198" t="str">
        <f t="shared" si="113"/>
        <v/>
      </c>
      <c r="W732" s="339" t="str">
        <f t="shared" si="117"/>
        <v/>
      </c>
      <c r="X732" s="341" t="str">
        <f t="shared" si="118"/>
        <v/>
      </c>
      <c r="Y732" s="277"/>
      <c r="AR732" t="str">
        <f t="shared" si="119"/>
        <v/>
      </c>
      <c r="AS732" t="str">
        <f t="shared" si="120"/>
        <v/>
      </c>
    </row>
    <row r="733" spans="1:45">
      <c r="A733" s="294"/>
      <c r="B733" s="295"/>
      <c r="C733" s="296"/>
      <c r="D733" s="296"/>
      <c r="E733" s="296"/>
      <c r="F733" s="296"/>
      <c r="G733" s="297"/>
      <c r="H733" s="303"/>
      <c r="I733" s="298"/>
      <c r="J733" s="298"/>
      <c r="K733" s="299"/>
      <c r="L733" s="304"/>
      <c r="M733" s="300"/>
      <c r="N733" s="301"/>
      <c r="P733" s="193" t="str">
        <f>IF(R733 = "", "", COUNT(R$4:$R733))</f>
        <v/>
      </c>
      <c r="Q733" s="193" t="str">
        <f t="shared" si="111"/>
        <v/>
      </c>
      <c r="R733" s="194" t="str">
        <f t="shared" si="112"/>
        <v/>
      </c>
      <c r="S733" s="195" t="str">
        <f t="shared" si="114"/>
        <v/>
      </c>
      <c r="T733" s="196" t="str">
        <f t="shared" si="115"/>
        <v/>
      </c>
      <c r="U733" s="197" t="str">
        <f t="shared" si="116"/>
        <v/>
      </c>
      <c r="V733" s="198" t="str">
        <f t="shared" si="113"/>
        <v/>
      </c>
      <c r="W733" s="339" t="str">
        <f t="shared" si="117"/>
        <v/>
      </c>
      <c r="X733" s="341" t="str">
        <f t="shared" si="118"/>
        <v/>
      </c>
      <c r="Y733" s="277"/>
      <c r="AR733" t="str">
        <f t="shared" si="119"/>
        <v/>
      </c>
      <c r="AS733" t="str">
        <f t="shared" si="120"/>
        <v/>
      </c>
    </row>
    <row r="734" spans="1:45">
      <c r="A734" s="294"/>
      <c r="B734" s="295"/>
      <c r="C734" s="296"/>
      <c r="D734" s="296"/>
      <c r="E734" s="296"/>
      <c r="F734" s="296"/>
      <c r="G734" s="297"/>
      <c r="H734" s="303"/>
      <c r="I734" s="298"/>
      <c r="J734" s="298"/>
      <c r="K734" s="299"/>
      <c r="L734" s="304"/>
      <c r="M734" s="300"/>
      <c r="N734" s="301"/>
      <c r="P734" s="193" t="str">
        <f>IF(R734 = "", "", COUNT(R$4:$R734))</f>
        <v/>
      </c>
      <c r="Q734" s="193" t="str">
        <f t="shared" si="111"/>
        <v/>
      </c>
      <c r="R734" s="194" t="str">
        <f t="shared" si="112"/>
        <v/>
      </c>
      <c r="S734" s="195" t="str">
        <f t="shared" si="114"/>
        <v/>
      </c>
      <c r="T734" s="196" t="str">
        <f t="shared" si="115"/>
        <v/>
      </c>
      <c r="U734" s="197" t="str">
        <f t="shared" si="116"/>
        <v/>
      </c>
      <c r="V734" s="198" t="str">
        <f t="shared" si="113"/>
        <v/>
      </c>
      <c r="W734" s="339" t="str">
        <f t="shared" si="117"/>
        <v/>
      </c>
      <c r="X734" s="341" t="str">
        <f t="shared" si="118"/>
        <v/>
      </c>
      <c r="Y734" s="277"/>
      <c r="AR734" t="str">
        <f t="shared" si="119"/>
        <v/>
      </c>
      <c r="AS734" t="str">
        <f t="shared" si="120"/>
        <v/>
      </c>
    </row>
    <row r="735" spans="1:45">
      <c r="A735" s="294"/>
      <c r="B735" s="295"/>
      <c r="C735" s="296"/>
      <c r="D735" s="296"/>
      <c r="E735" s="296"/>
      <c r="F735" s="296"/>
      <c r="G735" s="297"/>
      <c r="H735" s="303"/>
      <c r="I735" s="298"/>
      <c r="J735" s="298"/>
      <c r="K735" s="299"/>
      <c r="L735" s="304"/>
      <c r="M735" s="300"/>
      <c r="N735" s="301"/>
      <c r="P735" s="193" t="str">
        <f>IF(R735 = "", "", COUNT(R$4:$R735))</f>
        <v/>
      </c>
      <c r="Q735" s="193" t="str">
        <f t="shared" si="111"/>
        <v/>
      </c>
      <c r="R735" s="194" t="str">
        <f t="shared" si="112"/>
        <v/>
      </c>
      <c r="S735" s="195" t="str">
        <f t="shared" si="114"/>
        <v/>
      </c>
      <c r="T735" s="196" t="str">
        <f t="shared" si="115"/>
        <v/>
      </c>
      <c r="U735" s="197" t="str">
        <f t="shared" si="116"/>
        <v/>
      </c>
      <c r="V735" s="198" t="str">
        <f t="shared" si="113"/>
        <v/>
      </c>
      <c r="W735" s="339" t="str">
        <f t="shared" si="117"/>
        <v/>
      </c>
      <c r="X735" s="341" t="str">
        <f t="shared" si="118"/>
        <v/>
      </c>
      <c r="Y735" s="277"/>
      <c r="AR735" t="str">
        <f t="shared" si="119"/>
        <v/>
      </c>
      <c r="AS735" t="str">
        <f t="shared" si="120"/>
        <v/>
      </c>
    </row>
    <row r="736" spans="1:45">
      <c r="A736" s="294"/>
      <c r="B736" s="295"/>
      <c r="C736" s="296"/>
      <c r="D736" s="296"/>
      <c r="E736" s="296"/>
      <c r="F736" s="296"/>
      <c r="G736" s="297"/>
      <c r="H736" s="303"/>
      <c r="I736" s="298"/>
      <c r="J736" s="298"/>
      <c r="K736" s="299"/>
      <c r="L736" s="304"/>
      <c r="M736" s="300"/>
      <c r="N736" s="301"/>
      <c r="P736" s="193" t="str">
        <f>IF(R736 = "", "", COUNT(R$4:$R736))</f>
        <v/>
      </c>
      <c r="Q736" s="193" t="str">
        <f t="shared" si="111"/>
        <v/>
      </c>
      <c r="R736" s="194" t="str">
        <f t="shared" si="112"/>
        <v/>
      </c>
      <c r="S736" s="195" t="str">
        <f t="shared" si="114"/>
        <v/>
      </c>
      <c r="T736" s="196" t="str">
        <f t="shared" si="115"/>
        <v/>
      </c>
      <c r="U736" s="197" t="str">
        <f t="shared" si="116"/>
        <v/>
      </c>
      <c r="V736" s="198" t="str">
        <f t="shared" si="113"/>
        <v/>
      </c>
      <c r="W736" s="339" t="str">
        <f t="shared" si="117"/>
        <v/>
      </c>
      <c r="X736" s="341" t="str">
        <f t="shared" si="118"/>
        <v/>
      </c>
      <c r="Y736" s="277"/>
      <c r="AR736" t="str">
        <f t="shared" si="119"/>
        <v/>
      </c>
      <c r="AS736" t="str">
        <f t="shared" si="120"/>
        <v/>
      </c>
    </row>
    <row r="737" spans="1:45">
      <c r="A737" s="294"/>
      <c r="B737" s="295"/>
      <c r="C737" s="296"/>
      <c r="D737" s="296"/>
      <c r="E737" s="296"/>
      <c r="F737" s="296"/>
      <c r="G737" s="297"/>
      <c r="H737" s="303"/>
      <c r="I737" s="298"/>
      <c r="J737" s="298"/>
      <c r="K737" s="299"/>
      <c r="L737" s="304"/>
      <c r="M737" s="300"/>
      <c r="N737" s="301"/>
      <c r="P737" s="193" t="str">
        <f>IF(R737 = "", "", COUNT(R$4:$R737))</f>
        <v/>
      </c>
      <c r="Q737" s="193" t="str">
        <f t="shared" si="111"/>
        <v/>
      </c>
      <c r="R737" s="194" t="str">
        <f t="shared" si="112"/>
        <v/>
      </c>
      <c r="S737" s="195" t="str">
        <f t="shared" si="114"/>
        <v/>
      </c>
      <c r="T737" s="196" t="str">
        <f t="shared" si="115"/>
        <v/>
      </c>
      <c r="U737" s="197" t="str">
        <f t="shared" si="116"/>
        <v/>
      </c>
      <c r="V737" s="198" t="str">
        <f t="shared" si="113"/>
        <v/>
      </c>
      <c r="W737" s="339" t="str">
        <f t="shared" si="117"/>
        <v/>
      </c>
      <c r="X737" s="341" t="str">
        <f t="shared" si="118"/>
        <v/>
      </c>
      <c r="Y737" s="277"/>
      <c r="AR737" t="str">
        <f t="shared" si="119"/>
        <v/>
      </c>
      <c r="AS737" t="str">
        <f t="shared" si="120"/>
        <v/>
      </c>
    </row>
    <row r="738" spans="1:45">
      <c r="A738" s="294"/>
      <c r="B738" s="295"/>
      <c r="C738" s="296"/>
      <c r="D738" s="296"/>
      <c r="E738" s="296"/>
      <c r="F738" s="296"/>
      <c r="G738" s="297"/>
      <c r="H738" s="303"/>
      <c r="I738" s="298"/>
      <c r="J738" s="298"/>
      <c r="K738" s="299"/>
      <c r="L738" s="304"/>
      <c r="M738" s="300"/>
      <c r="N738" s="301"/>
      <c r="P738" s="193" t="str">
        <f>IF(R738 = "", "", COUNT(R$4:$R738))</f>
        <v/>
      </c>
      <c r="Q738" s="193" t="str">
        <f t="shared" si="111"/>
        <v/>
      </c>
      <c r="R738" s="194" t="str">
        <f t="shared" si="112"/>
        <v/>
      </c>
      <c r="S738" s="195" t="str">
        <f t="shared" si="114"/>
        <v/>
      </c>
      <c r="T738" s="196" t="str">
        <f t="shared" si="115"/>
        <v/>
      </c>
      <c r="U738" s="197" t="str">
        <f t="shared" si="116"/>
        <v/>
      </c>
      <c r="V738" s="198" t="str">
        <f t="shared" si="113"/>
        <v/>
      </c>
      <c r="W738" s="339" t="str">
        <f t="shared" si="117"/>
        <v/>
      </c>
      <c r="X738" s="341" t="str">
        <f t="shared" si="118"/>
        <v/>
      </c>
      <c r="Y738" s="277"/>
      <c r="AR738" t="str">
        <f t="shared" si="119"/>
        <v/>
      </c>
      <c r="AS738" t="str">
        <f t="shared" si="120"/>
        <v/>
      </c>
    </row>
    <row r="739" spans="1:45">
      <c r="A739" s="294"/>
      <c r="B739" s="295"/>
      <c r="C739" s="296"/>
      <c r="D739" s="296"/>
      <c r="E739" s="296"/>
      <c r="F739" s="296"/>
      <c r="G739" s="297"/>
      <c r="H739" s="303"/>
      <c r="I739" s="298"/>
      <c r="J739" s="298"/>
      <c r="K739" s="299"/>
      <c r="L739" s="304"/>
      <c r="M739" s="300"/>
      <c r="N739" s="301"/>
      <c r="P739" s="193" t="str">
        <f>IF(R739 = "", "", COUNT(R$4:$R739))</f>
        <v/>
      </c>
      <c r="Q739" s="193" t="str">
        <f t="shared" si="111"/>
        <v/>
      </c>
      <c r="R739" s="194" t="str">
        <f t="shared" si="112"/>
        <v/>
      </c>
      <c r="S739" s="195" t="str">
        <f t="shared" si="114"/>
        <v/>
      </c>
      <c r="T739" s="196" t="str">
        <f t="shared" si="115"/>
        <v/>
      </c>
      <c r="U739" s="197" t="str">
        <f t="shared" si="116"/>
        <v/>
      </c>
      <c r="V739" s="198" t="str">
        <f t="shared" si="113"/>
        <v/>
      </c>
      <c r="W739" s="339" t="str">
        <f t="shared" si="117"/>
        <v/>
      </c>
      <c r="X739" s="341" t="str">
        <f t="shared" si="118"/>
        <v/>
      </c>
      <c r="Y739" s="277"/>
      <c r="AR739" t="str">
        <f t="shared" si="119"/>
        <v/>
      </c>
      <c r="AS739" t="str">
        <f t="shared" si="120"/>
        <v/>
      </c>
    </row>
    <row r="740" spans="1:45">
      <c r="A740" s="294"/>
      <c r="B740" s="295"/>
      <c r="C740" s="296"/>
      <c r="D740" s="296"/>
      <c r="E740" s="296"/>
      <c r="F740" s="296"/>
      <c r="G740" s="297"/>
      <c r="H740" s="303"/>
      <c r="I740" s="298"/>
      <c r="J740" s="298"/>
      <c r="K740" s="299"/>
      <c r="L740" s="304"/>
      <c r="M740" s="300"/>
      <c r="N740" s="301"/>
      <c r="P740" s="193" t="str">
        <f>IF(R740 = "", "", COUNT(R$4:$R740))</f>
        <v/>
      </c>
      <c r="Q740" s="193" t="str">
        <f t="shared" si="111"/>
        <v/>
      </c>
      <c r="R740" s="194" t="str">
        <f t="shared" si="112"/>
        <v/>
      </c>
      <c r="S740" s="195" t="str">
        <f t="shared" si="114"/>
        <v/>
      </c>
      <c r="T740" s="196" t="str">
        <f t="shared" si="115"/>
        <v/>
      </c>
      <c r="U740" s="197" t="str">
        <f t="shared" si="116"/>
        <v/>
      </c>
      <c r="V740" s="198" t="str">
        <f t="shared" si="113"/>
        <v/>
      </c>
      <c r="W740" s="339" t="str">
        <f t="shared" si="117"/>
        <v/>
      </c>
      <c r="X740" s="341" t="str">
        <f t="shared" si="118"/>
        <v/>
      </c>
      <c r="Y740" s="277"/>
      <c r="AR740" t="str">
        <f t="shared" si="119"/>
        <v/>
      </c>
      <c r="AS740" t="str">
        <f t="shared" si="120"/>
        <v/>
      </c>
    </row>
    <row r="741" spans="1:45">
      <c r="A741" s="294"/>
      <c r="B741" s="295"/>
      <c r="C741" s="296"/>
      <c r="D741" s="296"/>
      <c r="E741" s="296"/>
      <c r="F741" s="296"/>
      <c r="G741" s="297"/>
      <c r="H741" s="303"/>
      <c r="I741" s="298"/>
      <c r="J741" s="298"/>
      <c r="K741" s="299"/>
      <c r="L741" s="304"/>
      <c r="M741" s="300"/>
      <c r="N741" s="301"/>
      <c r="P741" s="193" t="str">
        <f>IF(R741 = "", "", COUNT(R$4:$R741))</f>
        <v/>
      </c>
      <c r="Q741" s="193" t="str">
        <f t="shared" si="111"/>
        <v/>
      </c>
      <c r="R741" s="194" t="str">
        <f t="shared" si="112"/>
        <v/>
      </c>
      <c r="S741" s="195" t="str">
        <f t="shared" si="114"/>
        <v/>
      </c>
      <c r="T741" s="196" t="str">
        <f t="shared" si="115"/>
        <v/>
      </c>
      <c r="U741" s="197" t="str">
        <f t="shared" si="116"/>
        <v/>
      </c>
      <c r="V741" s="198" t="str">
        <f t="shared" si="113"/>
        <v/>
      </c>
      <c r="W741" s="339" t="str">
        <f t="shared" si="117"/>
        <v/>
      </c>
      <c r="X741" s="341" t="str">
        <f t="shared" si="118"/>
        <v/>
      </c>
      <c r="Y741" s="277"/>
      <c r="AR741" t="str">
        <f t="shared" si="119"/>
        <v/>
      </c>
      <c r="AS741" t="str">
        <f t="shared" si="120"/>
        <v/>
      </c>
    </row>
    <row r="742" spans="1:45">
      <c r="A742" s="294"/>
      <c r="B742" s="295"/>
      <c r="C742" s="296"/>
      <c r="D742" s="296"/>
      <c r="E742" s="296"/>
      <c r="F742" s="296"/>
      <c r="G742" s="297"/>
      <c r="H742" s="303"/>
      <c r="I742" s="298"/>
      <c r="J742" s="298"/>
      <c r="K742" s="299"/>
      <c r="L742" s="304"/>
      <c r="M742" s="300"/>
      <c r="N742" s="301"/>
      <c r="P742" s="193" t="str">
        <f>IF(R742 = "", "", COUNT(R$4:$R742))</f>
        <v/>
      </c>
      <c r="Q742" s="193" t="str">
        <f t="shared" si="111"/>
        <v/>
      </c>
      <c r="R742" s="194" t="str">
        <f t="shared" si="112"/>
        <v/>
      </c>
      <c r="S742" s="195" t="str">
        <f t="shared" si="114"/>
        <v/>
      </c>
      <c r="T742" s="196" t="str">
        <f t="shared" si="115"/>
        <v/>
      </c>
      <c r="U742" s="197" t="str">
        <f t="shared" si="116"/>
        <v/>
      </c>
      <c r="V742" s="198" t="str">
        <f t="shared" si="113"/>
        <v/>
      </c>
      <c r="W742" s="339" t="str">
        <f t="shared" si="117"/>
        <v/>
      </c>
      <c r="X742" s="341" t="str">
        <f t="shared" si="118"/>
        <v/>
      </c>
      <c r="Y742" s="277"/>
      <c r="AR742" t="str">
        <f t="shared" si="119"/>
        <v/>
      </c>
      <c r="AS742" t="str">
        <f t="shared" si="120"/>
        <v/>
      </c>
    </row>
    <row r="743" spans="1:45">
      <c r="A743" s="294"/>
      <c r="B743" s="295"/>
      <c r="C743" s="296"/>
      <c r="D743" s="296"/>
      <c r="E743" s="296"/>
      <c r="F743" s="296"/>
      <c r="G743" s="297"/>
      <c r="H743" s="303"/>
      <c r="I743" s="298"/>
      <c r="J743" s="298"/>
      <c r="K743" s="299"/>
      <c r="L743" s="304"/>
      <c r="M743" s="300"/>
      <c r="N743" s="301"/>
      <c r="P743" s="193" t="str">
        <f>IF(R743 = "", "", COUNT(R$4:$R743))</f>
        <v/>
      </c>
      <c r="Q743" s="193" t="str">
        <f t="shared" si="111"/>
        <v/>
      </c>
      <c r="R743" s="194" t="str">
        <f t="shared" si="112"/>
        <v/>
      </c>
      <c r="S743" s="195" t="str">
        <f t="shared" si="114"/>
        <v/>
      </c>
      <c r="T743" s="196" t="str">
        <f t="shared" si="115"/>
        <v/>
      </c>
      <c r="U743" s="197" t="str">
        <f t="shared" si="116"/>
        <v/>
      </c>
      <c r="V743" s="198" t="str">
        <f t="shared" si="113"/>
        <v/>
      </c>
      <c r="W743" s="339" t="str">
        <f t="shared" si="117"/>
        <v/>
      </c>
      <c r="X743" s="341" t="str">
        <f t="shared" si="118"/>
        <v/>
      </c>
      <c r="Y743" s="277"/>
      <c r="AR743" t="str">
        <f t="shared" si="119"/>
        <v/>
      </c>
      <c r="AS743" t="str">
        <f t="shared" si="120"/>
        <v/>
      </c>
    </row>
    <row r="744" spans="1:45">
      <c r="A744" s="294"/>
      <c r="B744" s="295"/>
      <c r="C744" s="296"/>
      <c r="D744" s="296"/>
      <c r="E744" s="296"/>
      <c r="F744" s="296"/>
      <c r="G744" s="297"/>
      <c r="H744" s="303"/>
      <c r="I744" s="298"/>
      <c r="J744" s="298"/>
      <c r="K744" s="299"/>
      <c r="L744" s="304"/>
      <c r="M744" s="300"/>
      <c r="N744" s="301"/>
      <c r="P744" s="193" t="str">
        <f>IF(R744 = "", "", COUNT(R$4:$R744))</f>
        <v/>
      </c>
      <c r="Q744" s="193" t="str">
        <f t="shared" si="111"/>
        <v/>
      </c>
      <c r="R744" s="194" t="str">
        <f t="shared" si="112"/>
        <v/>
      </c>
      <c r="S744" s="195" t="str">
        <f t="shared" si="114"/>
        <v/>
      </c>
      <c r="T744" s="196" t="str">
        <f t="shared" si="115"/>
        <v/>
      </c>
      <c r="U744" s="197" t="str">
        <f t="shared" si="116"/>
        <v/>
      </c>
      <c r="V744" s="198" t="str">
        <f t="shared" si="113"/>
        <v/>
      </c>
      <c r="W744" s="339" t="str">
        <f t="shared" si="117"/>
        <v/>
      </c>
      <c r="X744" s="341" t="str">
        <f t="shared" si="118"/>
        <v/>
      </c>
      <c r="Y744" s="277"/>
      <c r="AR744" t="str">
        <f t="shared" si="119"/>
        <v/>
      </c>
      <c r="AS744" t="str">
        <f t="shared" si="120"/>
        <v/>
      </c>
    </row>
    <row r="745" spans="1:45">
      <c r="A745" s="294"/>
      <c r="B745" s="295"/>
      <c r="C745" s="296"/>
      <c r="D745" s="296"/>
      <c r="E745" s="296"/>
      <c r="F745" s="296"/>
      <c r="G745" s="297"/>
      <c r="H745" s="303"/>
      <c r="I745" s="298"/>
      <c r="J745" s="298"/>
      <c r="K745" s="299"/>
      <c r="L745" s="304"/>
      <c r="M745" s="300"/>
      <c r="N745" s="301"/>
      <c r="P745" s="193" t="str">
        <f>IF(R745 = "", "", COUNT(R$4:$R745))</f>
        <v/>
      </c>
      <c r="Q745" s="193" t="str">
        <f t="shared" si="111"/>
        <v/>
      </c>
      <c r="R745" s="194" t="str">
        <f t="shared" si="112"/>
        <v/>
      </c>
      <c r="S745" s="195" t="str">
        <f t="shared" si="114"/>
        <v/>
      </c>
      <c r="T745" s="196" t="str">
        <f t="shared" si="115"/>
        <v/>
      </c>
      <c r="U745" s="197" t="str">
        <f t="shared" si="116"/>
        <v/>
      </c>
      <c r="V745" s="198" t="str">
        <f t="shared" si="113"/>
        <v/>
      </c>
      <c r="W745" s="339" t="str">
        <f t="shared" si="117"/>
        <v/>
      </c>
      <c r="X745" s="341" t="str">
        <f t="shared" si="118"/>
        <v/>
      </c>
      <c r="Y745" s="277"/>
      <c r="AR745" t="str">
        <f t="shared" si="119"/>
        <v/>
      </c>
      <c r="AS745" t="str">
        <f t="shared" si="120"/>
        <v/>
      </c>
    </row>
    <row r="746" spans="1:45">
      <c r="A746" s="294"/>
      <c r="B746" s="295"/>
      <c r="C746" s="296"/>
      <c r="D746" s="296"/>
      <c r="E746" s="296"/>
      <c r="F746" s="296"/>
      <c r="G746" s="297"/>
      <c r="H746" s="303"/>
      <c r="I746" s="298"/>
      <c r="J746" s="298"/>
      <c r="K746" s="299"/>
      <c r="L746" s="304"/>
      <c r="M746" s="300"/>
      <c r="N746" s="301"/>
      <c r="P746" s="193" t="str">
        <f>IF(R746 = "", "", COUNT(R$4:$R746))</f>
        <v/>
      </c>
      <c r="Q746" s="193" t="str">
        <f t="shared" si="111"/>
        <v/>
      </c>
      <c r="R746" s="194" t="str">
        <f t="shared" si="112"/>
        <v/>
      </c>
      <c r="S746" s="195" t="str">
        <f t="shared" si="114"/>
        <v/>
      </c>
      <c r="T746" s="196" t="str">
        <f t="shared" si="115"/>
        <v/>
      </c>
      <c r="U746" s="197" t="str">
        <f t="shared" si="116"/>
        <v/>
      </c>
      <c r="V746" s="198" t="str">
        <f t="shared" si="113"/>
        <v/>
      </c>
      <c r="W746" s="339" t="str">
        <f t="shared" si="117"/>
        <v/>
      </c>
      <c r="X746" s="341" t="str">
        <f t="shared" si="118"/>
        <v/>
      </c>
      <c r="Y746" s="277"/>
      <c r="AR746" t="str">
        <f t="shared" si="119"/>
        <v/>
      </c>
      <c r="AS746" t="str">
        <f t="shared" si="120"/>
        <v/>
      </c>
    </row>
    <row r="747" spans="1:45">
      <c r="A747" s="294"/>
      <c r="B747" s="295"/>
      <c r="C747" s="296"/>
      <c r="D747" s="296"/>
      <c r="E747" s="296"/>
      <c r="F747" s="296"/>
      <c r="G747" s="297"/>
      <c r="H747" s="303"/>
      <c r="I747" s="298"/>
      <c r="J747" s="298"/>
      <c r="K747" s="299"/>
      <c r="L747" s="304"/>
      <c r="M747" s="300"/>
      <c r="N747" s="301"/>
      <c r="P747" s="193" t="str">
        <f>IF(R747 = "", "", COUNT(R$4:$R747))</f>
        <v/>
      </c>
      <c r="Q747" s="193" t="str">
        <f t="shared" si="111"/>
        <v/>
      </c>
      <c r="R747" s="194" t="str">
        <f t="shared" si="112"/>
        <v/>
      </c>
      <c r="S747" s="195" t="str">
        <f t="shared" si="114"/>
        <v/>
      </c>
      <c r="T747" s="196" t="str">
        <f t="shared" si="115"/>
        <v/>
      </c>
      <c r="U747" s="197" t="str">
        <f t="shared" si="116"/>
        <v/>
      </c>
      <c r="V747" s="198" t="str">
        <f t="shared" si="113"/>
        <v/>
      </c>
      <c r="W747" s="339" t="str">
        <f t="shared" si="117"/>
        <v/>
      </c>
      <c r="X747" s="341" t="str">
        <f t="shared" si="118"/>
        <v/>
      </c>
      <c r="Y747" s="277"/>
      <c r="AR747" t="str">
        <f t="shared" si="119"/>
        <v/>
      </c>
      <c r="AS747" t="str">
        <f t="shared" si="120"/>
        <v/>
      </c>
    </row>
    <row r="748" spans="1:45">
      <c r="A748" s="294"/>
      <c r="B748" s="295"/>
      <c r="C748" s="296"/>
      <c r="D748" s="296"/>
      <c r="E748" s="296"/>
      <c r="F748" s="296"/>
      <c r="G748" s="297"/>
      <c r="H748" s="303"/>
      <c r="I748" s="298"/>
      <c r="J748" s="298"/>
      <c r="K748" s="299"/>
      <c r="L748" s="304"/>
      <c r="M748" s="300"/>
      <c r="N748" s="301"/>
      <c r="P748" s="193" t="str">
        <f>IF(R748 = "", "", COUNT(R$4:$R748))</f>
        <v/>
      </c>
      <c r="Q748" s="193" t="str">
        <f t="shared" si="111"/>
        <v/>
      </c>
      <c r="R748" s="194" t="str">
        <f t="shared" si="112"/>
        <v/>
      </c>
      <c r="S748" s="195" t="str">
        <f t="shared" si="114"/>
        <v/>
      </c>
      <c r="T748" s="196" t="str">
        <f t="shared" si="115"/>
        <v/>
      </c>
      <c r="U748" s="197" t="str">
        <f t="shared" si="116"/>
        <v/>
      </c>
      <c r="V748" s="198" t="str">
        <f t="shared" si="113"/>
        <v/>
      </c>
      <c r="W748" s="339" t="str">
        <f t="shared" si="117"/>
        <v/>
      </c>
      <c r="X748" s="341" t="str">
        <f t="shared" si="118"/>
        <v/>
      </c>
      <c r="Y748" s="277"/>
      <c r="AR748" t="str">
        <f t="shared" si="119"/>
        <v/>
      </c>
      <c r="AS748" t="str">
        <f t="shared" si="120"/>
        <v/>
      </c>
    </row>
    <row r="749" spans="1:45">
      <c r="A749" s="294"/>
      <c r="B749" s="295"/>
      <c r="C749" s="296"/>
      <c r="D749" s="296"/>
      <c r="E749" s="296"/>
      <c r="F749" s="296"/>
      <c r="G749" s="297"/>
      <c r="H749" s="303"/>
      <c r="I749" s="298"/>
      <c r="J749" s="298"/>
      <c r="K749" s="299"/>
      <c r="L749" s="304"/>
      <c r="M749" s="300"/>
      <c r="N749" s="301"/>
      <c r="P749" s="193" t="str">
        <f>IF(R749 = "", "", COUNT(R$4:$R749))</f>
        <v/>
      </c>
      <c r="Q749" s="193" t="str">
        <f t="shared" si="111"/>
        <v/>
      </c>
      <c r="R749" s="194" t="str">
        <f t="shared" si="112"/>
        <v/>
      </c>
      <c r="S749" s="195" t="str">
        <f t="shared" si="114"/>
        <v/>
      </c>
      <c r="T749" s="196" t="str">
        <f t="shared" si="115"/>
        <v/>
      </c>
      <c r="U749" s="197" t="str">
        <f t="shared" si="116"/>
        <v/>
      </c>
      <c r="V749" s="198" t="str">
        <f t="shared" si="113"/>
        <v/>
      </c>
      <c r="W749" s="339" t="str">
        <f t="shared" si="117"/>
        <v/>
      </c>
      <c r="X749" s="341" t="str">
        <f t="shared" si="118"/>
        <v/>
      </c>
      <c r="Y749" s="277"/>
      <c r="AR749" t="str">
        <f t="shared" si="119"/>
        <v/>
      </c>
      <c r="AS749" t="str">
        <f t="shared" si="120"/>
        <v/>
      </c>
    </row>
    <row r="750" spans="1:45">
      <c r="A750" s="294"/>
      <c r="B750" s="295"/>
      <c r="C750" s="296"/>
      <c r="D750" s="296"/>
      <c r="E750" s="296"/>
      <c r="F750" s="296"/>
      <c r="G750" s="297"/>
      <c r="H750" s="303"/>
      <c r="I750" s="298"/>
      <c r="J750" s="298"/>
      <c r="K750" s="299"/>
      <c r="L750" s="304"/>
      <c r="M750" s="300"/>
      <c r="N750" s="301"/>
      <c r="P750" s="193" t="str">
        <f>IF(R750 = "", "", COUNT(R$4:$R750))</f>
        <v/>
      </c>
      <c r="Q750" s="193" t="str">
        <f t="shared" si="111"/>
        <v/>
      </c>
      <c r="R750" s="194" t="str">
        <f t="shared" si="112"/>
        <v/>
      </c>
      <c r="S750" s="195" t="str">
        <f t="shared" si="114"/>
        <v/>
      </c>
      <c r="T750" s="196" t="str">
        <f t="shared" si="115"/>
        <v/>
      </c>
      <c r="U750" s="197" t="str">
        <f t="shared" si="116"/>
        <v/>
      </c>
      <c r="V750" s="198" t="str">
        <f t="shared" si="113"/>
        <v/>
      </c>
      <c r="W750" s="339" t="str">
        <f t="shared" si="117"/>
        <v/>
      </c>
      <c r="X750" s="341" t="str">
        <f t="shared" si="118"/>
        <v/>
      </c>
      <c r="Y750" s="277"/>
      <c r="AR750" t="str">
        <f t="shared" si="119"/>
        <v/>
      </c>
      <c r="AS750" t="str">
        <f t="shared" si="120"/>
        <v/>
      </c>
    </row>
    <row r="751" spans="1:45">
      <c r="A751" s="294"/>
      <c r="B751" s="295"/>
      <c r="C751" s="296"/>
      <c r="D751" s="296"/>
      <c r="E751" s="296"/>
      <c r="F751" s="296"/>
      <c r="G751" s="297"/>
      <c r="H751" s="303"/>
      <c r="I751" s="298"/>
      <c r="J751" s="298"/>
      <c r="K751" s="299"/>
      <c r="L751" s="304"/>
      <c r="M751" s="300"/>
      <c r="N751" s="301"/>
      <c r="P751" s="193" t="str">
        <f>IF(R751 = "", "", COUNT(R$4:$R751))</f>
        <v/>
      </c>
      <c r="Q751" s="193" t="str">
        <f t="shared" si="111"/>
        <v/>
      </c>
      <c r="R751" s="194" t="str">
        <f t="shared" si="112"/>
        <v/>
      </c>
      <c r="S751" s="195" t="str">
        <f t="shared" si="114"/>
        <v/>
      </c>
      <c r="T751" s="196" t="str">
        <f t="shared" si="115"/>
        <v/>
      </c>
      <c r="U751" s="197" t="str">
        <f t="shared" si="116"/>
        <v/>
      </c>
      <c r="V751" s="198" t="str">
        <f t="shared" si="113"/>
        <v/>
      </c>
      <c r="W751" s="339" t="str">
        <f t="shared" si="117"/>
        <v/>
      </c>
      <c r="X751" s="341" t="str">
        <f t="shared" si="118"/>
        <v/>
      </c>
      <c r="Y751" s="277"/>
      <c r="AR751" t="str">
        <f t="shared" si="119"/>
        <v/>
      </c>
      <c r="AS751" t="str">
        <f t="shared" si="120"/>
        <v/>
      </c>
    </row>
    <row r="752" spans="1:45">
      <c r="A752" s="294"/>
      <c r="B752" s="295"/>
      <c r="C752" s="296"/>
      <c r="D752" s="296"/>
      <c r="E752" s="296"/>
      <c r="F752" s="296"/>
      <c r="G752" s="297"/>
      <c r="H752" s="303"/>
      <c r="I752" s="298"/>
      <c r="J752" s="298"/>
      <c r="K752" s="299"/>
      <c r="L752" s="304"/>
      <c r="M752" s="300"/>
      <c r="N752" s="301"/>
      <c r="P752" s="193" t="str">
        <f>IF(R752 = "", "", COUNT(R$4:$R752))</f>
        <v/>
      </c>
      <c r="Q752" s="193" t="str">
        <f t="shared" si="111"/>
        <v/>
      </c>
      <c r="R752" s="194" t="str">
        <f t="shared" si="112"/>
        <v/>
      </c>
      <c r="S752" s="195" t="str">
        <f t="shared" si="114"/>
        <v/>
      </c>
      <c r="T752" s="196" t="str">
        <f t="shared" si="115"/>
        <v/>
      </c>
      <c r="U752" s="197" t="str">
        <f t="shared" si="116"/>
        <v/>
      </c>
      <c r="V752" s="198" t="str">
        <f t="shared" si="113"/>
        <v/>
      </c>
      <c r="W752" s="339" t="str">
        <f t="shared" si="117"/>
        <v/>
      </c>
      <c r="X752" s="341" t="str">
        <f t="shared" si="118"/>
        <v/>
      </c>
      <c r="Y752" s="277"/>
      <c r="AR752" t="str">
        <f t="shared" si="119"/>
        <v/>
      </c>
      <c r="AS752" t="str">
        <f t="shared" si="120"/>
        <v/>
      </c>
    </row>
    <row r="753" spans="1:45">
      <c r="A753" s="294"/>
      <c r="B753" s="295"/>
      <c r="C753" s="296"/>
      <c r="D753" s="296"/>
      <c r="E753" s="296"/>
      <c r="F753" s="296"/>
      <c r="G753" s="297"/>
      <c r="H753" s="303"/>
      <c r="I753" s="298"/>
      <c r="J753" s="298"/>
      <c r="K753" s="299"/>
      <c r="L753" s="304"/>
      <c r="M753" s="300"/>
      <c r="N753" s="301"/>
      <c r="P753" s="193" t="str">
        <f>IF(R753 = "", "", COUNT(R$4:$R753))</f>
        <v/>
      </c>
      <c r="Q753" s="193" t="str">
        <f t="shared" si="111"/>
        <v/>
      </c>
      <c r="R753" s="194" t="str">
        <f t="shared" si="112"/>
        <v/>
      </c>
      <c r="S753" s="195" t="str">
        <f t="shared" si="114"/>
        <v/>
      </c>
      <c r="T753" s="196" t="str">
        <f t="shared" si="115"/>
        <v/>
      </c>
      <c r="U753" s="197" t="str">
        <f t="shared" si="116"/>
        <v/>
      </c>
      <c r="V753" s="198" t="str">
        <f t="shared" si="113"/>
        <v/>
      </c>
      <c r="W753" s="339" t="str">
        <f t="shared" si="117"/>
        <v/>
      </c>
      <c r="X753" s="341" t="str">
        <f t="shared" si="118"/>
        <v/>
      </c>
      <c r="Y753" s="277"/>
      <c r="AR753" t="str">
        <f t="shared" si="119"/>
        <v/>
      </c>
      <c r="AS753" t="str">
        <f t="shared" si="120"/>
        <v/>
      </c>
    </row>
    <row r="754" spans="1:45">
      <c r="A754" s="294"/>
      <c r="B754" s="295"/>
      <c r="C754" s="296"/>
      <c r="D754" s="296"/>
      <c r="E754" s="296"/>
      <c r="F754" s="296"/>
      <c r="G754" s="297"/>
      <c r="H754" s="303"/>
      <c r="I754" s="298"/>
      <c r="J754" s="298"/>
      <c r="K754" s="299"/>
      <c r="L754" s="304"/>
      <c r="M754" s="300"/>
      <c r="N754" s="301"/>
      <c r="P754" s="193" t="str">
        <f>IF(R754 = "", "", COUNT(R$4:$R754))</f>
        <v/>
      </c>
      <c r="Q754" s="193" t="str">
        <f t="shared" si="111"/>
        <v/>
      </c>
      <c r="R754" s="194" t="str">
        <f t="shared" si="112"/>
        <v/>
      </c>
      <c r="S754" s="195" t="str">
        <f t="shared" si="114"/>
        <v/>
      </c>
      <c r="T754" s="196" t="str">
        <f t="shared" si="115"/>
        <v/>
      </c>
      <c r="U754" s="197" t="str">
        <f t="shared" si="116"/>
        <v/>
      </c>
      <c r="V754" s="198" t="str">
        <f t="shared" si="113"/>
        <v/>
      </c>
      <c r="W754" s="339" t="str">
        <f t="shared" si="117"/>
        <v/>
      </c>
      <c r="X754" s="341" t="str">
        <f t="shared" si="118"/>
        <v/>
      </c>
      <c r="Y754" s="277"/>
      <c r="AR754" t="str">
        <f t="shared" si="119"/>
        <v/>
      </c>
      <c r="AS754" t="str">
        <f t="shared" si="120"/>
        <v/>
      </c>
    </row>
    <row r="755" spans="1:45">
      <c r="A755" s="294"/>
      <c r="B755" s="295"/>
      <c r="C755" s="296"/>
      <c r="D755" s="296"/>
      <c r="E755" s="296"/>
      <c r="F755" s="296"/>
      <c r="G755" s="297"/>
      <c r="H755" s="303"/>
      <c r="I755" s="298"/>
      <c r="J755" s="298"/>
      <c r="K755" s="299"/>
      <c r="L755" s="304"/>
      <c r="M755" s="300"/>
      <c r="N755" s="301"/>
      <c r="P755" s="193" t="str">
        <f>IF(R755 = "", "", COUNT(R$4:$R755))</f>
        <v/>
      </c>
      <c r="Q755" s="193" t="str">
        <f t="shared" si="111"/>
        <v/>
      </c>
      <c r="R755" s="194" t="str">
        <f t="shared" si="112"/>
        <v/>
      </c>
      <c r="S755" s="195" t="str">
        <f t="shared" si="114"/>
        <v/>
      </c>
      <c r="T755" s="196" t="str">
        <f t="shared" si="115"/>
        <v/>
      </c>
      <c r="U755" s="197" t="str">
        <f t="shared" si="116"/>
        <v/>
      </c>
      <c r="V755" s="198" t="str">
        <f t="shared" si="113"/>
        <v/>
      </c>
      <c r="W755" s="339" t="str">
        <f t="shared" si="117"/>
        <v/>
      </c>
      <c r="X755" s="341" t="str">
        <f t="shared" si="118"/>
        <v/>
      </c>
      <c r="Y755" s="277"/>
      <c r="AR755" t="str">
        <f t="shared" si="119"/>
        <v/>
      </c>
      <c r="AS755" t="str">
        <f t="shared" si="120"/>
        <v/>
      </c>
    </row>
    <row r="756" spans="1:45">
      <c r="A756" s="294"/>
      <c r="B756" s="295"/>
      <c r="C756" s="296"/>
      <c r="D756" s="296"/>
      <c r="E756" s="296"/>
      <c r="F756" s="296"/>
      <c r="G756" s="297"/>
      <c r="H756" s="303"/>
      <c r="I756" s="298"/>
      <c r="J756" s="298"/>
      <c r="K756" s="299"/>
      <c r="L756" s="304"/>
      <c r="M756" s="300"/>
      <c r="N756" s="301"/>
      <c r="P756" s="193" t="str">
        <f>IF(R756 = "", "", COUNT(R$4:$R756))</f>
        <v/>
      </c>
      <c r="Q756" s="193" t="str">
        <f t="shared" si="111"/>
        <v/>
      </c>
      <c r="R756" s="194" t="str">
        <f t="shared" si="112"/>
        <v/>
      </c>
      <c r="S756" s="195" t="str">
        <f t="shared" si="114"/>
        <v/>
      </c>
      <c r="T756" s="196" t="str">
        <f t="shared" si="115"/>
        <v/>
      </c>
      <c r="U756" s="197" t="str">
        <f t="shared" si="116"/>
        <v/>
      </c>
      <c r="V756" s="198" t="str">
        <f t="shared" si="113"/>
        <v/>
      </c>
      <c r="W756" s="339" t="str">
        <f t="shared" si="117"/>
        <v/>
      </c>
      <c r="X756" s="341" t="str">
        <f t="shared" si="118"/>
        <v/>
      </c>
      <c r="Y756" s="277"/>
      <c r="AR756" t="str">
        <f t="shared" si="119"/>
        <v/>
      </c>
      <c r="AS756" t="str">
        <f t="shared" si="120"/>
        <v/>
      </c>
    </row>
    <row r="757" spans="1:45">
      <c r="A757" s="294"/>
      <c r="B757" s="295"/>
      <c r="C757" s="296"/>
      <c r="D757" s="296"/>
      <c r="E757" s="296"/>
      <c r="F757" s="296"/>
      <c r="G757" s="297"/>
      <c r="H757" s="303"/>
      <c r="I757" s="298"/>
      <c r="J757" s="298"/>
      <c r="K757" s="299"/>
      <c r="L757" s="304"/>
      <c r="M757" s="300"/>
      <c r="N757" s="301"/>
      <c r="P757" s="193" t="str">
        <f>IF(R757 = "", "", COUNT(R$4:$R757))</f>
        <v/>
      </c>
      <c r="Q757" s="193" t="str">
        <f t="shared" si="111"/>
        <v/>
      </c>
      <c r="R757" s="194" t="str">
        <f t="shared" si="112"/>
        <v/>
      </c>
      <c r="S757" s="195" t="str">
        <f t="shared" si="114"/>
        <v/>
      </c>
      <c r="T757" s="196" t="str">
        <f t="shared" si="115"/>
        <v/>
      </c>
      <c r="U757" s="197" t="str">
        <f t="shared" si="116"/>
        <v/>
      </c>
      <c r="V757" s="198" t="str">
        <f t="shared" si="113"/>
        <v/>
      </c>
      <c r="W757" s="339" t="str">
        <f t="shared" si="117"/>
        <v/>
      </c>
      <c r="X757" s="341" t="str">
        <f t="shared" si="118"/>
        <v/>
      </c>
      <c r="Y757" s="277"/>
      <c r="AR757" t="str">
        <f t="shared" si="119"/>
        <v/>
      </c>
      <c r="AS757" t="str">
        <f t="shared" si="120"/>
        <v/>
      </c>
    </row>
    <row r="758" spans="1:45">
      <c r="A758" s="294"/>
      <c r="B758" s="295"/>
      <c r="C758" s="296"/>
      <c r="D758" s="296"/>
      <c r="E758" s="296"/>
      <c r="F758" s="296"/>
      <c r="G758" s="297"/>
      <c r="H758" s="303"/>
      <c r="I758" s="298"/>
      <c r="J758" s="298"/>
      <c r="K758" s="299"/>
      <c r="L758" s="304"/>
      <c r="M758" s="300"/>
      <c r="N758" s="301"/>
      <c r="P758" s="193" t="str">
        <f>IF(R758 = "", "", COUNT(R$4:$R758))</f>
        <v/>
      </c>
      <c r="Q758" s="193" t="str">
        <f t="shared" si="111"/>
        <v/>
      </c>
      <c r="R758" s="194" t="str">
        <f t="shared" si="112"/>
        <v/>
      </c>
      <c r="S758" s="195" t="str">
        <f t="shared" si="114"/>
        <v/>
      </c>
      <c r="T758" s="196" t="str">
        <f t="shared" si="115"/>
        <v/>
      </c>
      <c r="U758" s="197" t="str">
        <f t="shared" si="116"/>
        <v/>
      </c>
      <c r="V758" s="198" t="str">
        <f t="shared" si="113"/>
        <v/>
      </c>
      <c r="W758" s="339" t="str">
        <f t="shared" si="117"/>
        <v/>
      </c>
      <c r="X758" s="341" t="str">
        <f t="shared" si="118"/>
        <v/>
      </c>
      <c r="Y758" s="277"/>
      <c r="AR758" t="str">
        <f t="shared" si="119"/>
        <v/>
      </c>
      <c r="AS758" t="str">
        <f t="shared" si="120"/>
        <v/>
      </c>
    </row>
    <row r="759" spans="1:45">
      <c r="A759" s="294"/>
      <c r="B759" s="295"/>
      <c r="C759" s="296"/>
      <c r="D759" s="296"/>
      <c r="E759" s="296"/>
      <c r="F759" s="296"/>
      <c r="G759" s="297"/>
      <c r="H759" s="303"/>
      <c r="I759" s="298"/>
      <c r="J759" s="298"/>
      <c r="K759" s="299"/>
      <c r="L759" s="304"/>
      <c r="M759" s="300"/>
      <c r="N759" s="301"/>
      <c r="P759" s="193" t="str">
        <f>IF(R759 = "", "", COUNT(R$4:$R759))</f>
        <v/>
      </c>
      <c r="Q759" s="193" t="str">
        <f t="shared" si="111"/>
        <v/>
      </c>
      <c r="R759" s="194" t="str">
        <f t="shared" si="112"/>
        <v/>
      </c>
      <c r="S759" s="195" t="str">
        <f t="shared" si="114"/>
        <v/>
      </c>
      <c r="T759" s="196" t="str">
        <f t="shared" si="115"/>
        <v/>
      </c>
      <c r="U759" s="197" t="str">
        <f t="shared" si="116"/>
        <v/>
      </c>
      <c r="V759" s="198" t="str">
        <f t="shared" si="113"/>
        <v/>
      </c>
      <c r="W759" s="339" t="str">
        <f t="shared" si="117"/>
        <v/>
      </c>
      <c r="X759" s="341" t="str">
        <f t="shared" si="118"/>
        <v/>
      </c>
      <c r="Y759" s="277"/>
      <c r="AR759" t="str">
        <f t="shared" si="119"/>
        <v/>
      </c>
      <c r="AS759" t="str">
        <f t="shared" si="120"/>
        <v/>
      </c>
    </row>
    <row r="760" spans="1:45">
      <c r="A760" s="294"/>
      <c r="B760" s="295"/>
      <c r="C760" s="296"/>
      <c r="D760" s="296"/>
      <c r="E760" s="296"/>
      <c r="F760" s="296"/>
      <c r="G760" s="297"/>
      <c r="H760" s="303"/>
      <c r="I760" s="298"/>
      <c r="J760" s="298"/>
      <c r="K760" s="299"/>
      <c r="L760" s="304"/>
      <c r="M760" s="300"/>
      <c r="N760" s="301"/>
      <c r="P760" s="193" t="str">
        <f>IF(R760 = "", "", COUNT(R$4:$R760))</f>
        <v/>
      </c>
      <c r="Q760" s="193" t="str">
        <f t="shared" si="111"/>
        <v/>
      </c>
      <c r="R760" s="194" t="str">
        <f t="shared" si="112"/>
        <v/>
      </c>
      <c r="S760" s="195" t="str">
        <f t="shared" si="114"/>
        <v/>
      </c>
      <c r="T760" s="196" t="str">
        <f t="shared" si="115"/>
        <v/>
      </c>
      <c r="U760" s="197" t="str">
        <f t="shared" si="116"/>
        <v/>
      </c>
      <c r="V760" s="198" t="str">
        <f t="shared" si="113"/>
        <v/>
      </c>
      <c r="W760" s="339" t="str">
        <f t="shared" si="117"/>
        <v/>
      </c>
      <c r="X760" s="341" t="str">
        <f t="shared" si="118"/>
        <v/>
      </c>
      <c r="Y760" s="277"/>
      <c r="AR760" t="str">
        <f t="shared" si="119"/>
        <v/>
      </c>
      <c r="AS760" t="str">
        <f t="shared" si="120"/>
        <v/>
      </c>
    </row>
    <row r="761" spans="1:45">
      <c r="A761" s="294"/>
      <c r="B761" s="295"/>
      <c r="C761" s="296"/>
      <c r="D761" s="296"/>
      <c r="E761" s="296"/>
      <c r="F761" s="296"/>
      <c r="G761" s="297"/>
      <c r="H761" s="303"/>
      <c r="I761" s="298"/>
      <c r="J761" s="298"/>
      <c r="K761" s="299"/>
      <c r="L761" s="304"/>
      <c r="M761" s="300"/>
      <c r="N761" s="301"/>
      <c r="P761" s="193" t="str">
        <f>IF(R761 = "", "", COUNT(R$4:$R761))</f>
        <v/>
      </c>
      <c r="Q761" s="193" t="str">
        <f t="shared" si="111"/>
        <v/>
      </c>
      <c r="R761" s="194" t="str">
        <f t="shared" si="112"/>
        <v/>
      </c>
      <c r="S761" s="195" t="str">
        <f t="shared" si="114"/>
        <v/>
      </c>
      <c r="T761" s="196" t="str">
        <f t="shared" si="115"/>
        <v/>
      </c>
      <c r="U761" s="197" t="str">
        <f t="shared" si="116"/>
        <v/>
      </c>
      <c r="V761" s="198" t="str">
        <f t="shared" si="113"/>
        <v/>
      </c>
      <c r="W761" s="339" t="str">
        <f t="shared" si="117"/>
        <v/>
      </c>
      <c r="X761" s="341" t="str">
        <f t="shared" si="118"/>
        <v/>
      </c>
      <c r="Y761" s="277"/>
      <c r="AR761" t="str">
        <f t="shared" si="119"/>
        <v/>
      </c>
      <c r="AS761" t="str">
        <f t="shared" si="120"/>
        <v/>
      </c>
    </row>
    <row r="762" spans="1:45">
      <c r="A762" s="294"/>
      <c r="B762" s="295"/>
      <c r="C762" s="296"/>
      <c r="D762" s="296"/>
      <c r="E762" s="296"/>
      <c r="F762" s="296"/>
      <c r="G762" s="297"/>
      <c r="H762" s="303"/>
      <c r="I762" s="298"/>
      <c r="J762" s="298"/>
      <c r="K762" s="299"/>
      <c r="L762" s="304"/>
      <c r="M762" s="300"/>
      <c r="N762" s="301"/>
      <c r="P762" s="193" t="str">
        <f>IF(R762 = "", "", COUNT(R$4:$R762))</f>
        <v/>
      </c>
      <c r="Q762" s="193" t="str">
        <f t="shared" si="111"/>
        <v/>
      </c>
      <c r="R762" s="194" t="str">
        <f t="shared" si="112"/>
        <v/>
      </c>
      <c r="S762" s="195" t="str">
        <f t="shared" si="114"/>
        <v/>
      </c>
      <c r="T762" s="196" t="str">
        <f t="shared" si="115"/>
        <v/>
      </c>
      <c r="U762" s="197" t="str">
        <f t="shared" si="116"/>
        <v/>
      </c>
      <c r="V762" s="198" t="str">
        <f t="shared" si="113"/>
        <v/>
      </c>
      <c r="W762" s="339" t="str">
        <f t="shared" si="117"/>
        <v/>
      </c>
      <c r="X762" s="341" t="str">
        <f t="shared" si="118"/>
        <v/>
      </c>
      <c r="Y762" s="277"/>
      <c r="AR762" t="str">
        <f t="shared" si="119"/>
        <v/>
      </c>
      <c r="AS762" t="str">
        <f t="shared" si="120"/>
        <v/>
      </c>
    </row>
    <row r="763" spans="1:45">
      <c r="A763" s="294"/>
      <c r="B763" s="295"/>
      <c r="C763" s="296"/>
      <c r="D763" s="296"/>
      <c r="E763" s="296"/>
      <c r="F763" s="296"/>
      <c r="G763" s="297"/>
      <c r="H763" s="303"/>
      <c r="I763" s="298"/>
      <c r="J763" s="298"/>
      <c r="K763" s="299"/>
      <c r="L763" s="304"/>
      <c r="M763" s="300"/>
      <c r="N763" s="301"/>
      <c r="P763" s="193" t="str">
        <f>IF(R763 = "", "", COUNT(R$4:$R763))</f>
        <v/>
      </c>
      <c r="Q763" s="193" t="str">
        <f t="shared" si="111"/>
        <v/>
      </c>
      <c r="R763" s="194" t="str">
        <f t="shared" si="112"/>
        <v/>
      </c>
      <c r="S763" s="195" t="str">
        <f t="shared" si="114"/>
        <v/>
      </c>
      <c r="T763" s="196" t="str">
        <f t="shared" si="115"/>
        <v/>
      </c>
      <c r="U763" s="197" t="str">
        <f t="shared" si="116"/>
        <v/>
      </c>
      <c r="V763" s="198" t="str">
        <f t="shared" si="113"/>
        <v/>
      </c>
      <c r="W763" s="339" t="str">
        <f t="shared" si="117"/>
        <v/>
      </c>
      <c r="X763" s="341" t="str">
        <f t="shared" si="118"/>
        <v/>
      </c>
      <c r="Y763" s="277"/>
      <c r="AR763" t="str">
        <f t="shared" si="119"/>
        <v/>
      </c>
      <c r="AS763" t="str">
        <f t="shared" si="120"/>
        <v/>
      </c>
    </row>
    <row r="764" spans="1:45">
      <c r="A764" s="294"/>
      <c r="B764" s="295"/>
      <c r="C764" s="296"/>
      <c r="D764" s="296"/>
      <c r="E764" s="296"/>
      <c r="F764" s="296"/>
      <c r="G764" s="297"/>
      <c r="H764" s="303"/>
      <c r="I764" s="298"/>
      <c r="J764" s="298"/>
      <c r="K764" s="299"/>
      <c r="L764" s="304"/>
      <c r="M764" s="300"/>
      <c r="N764" s="301"/>
      <c r="P764" s="193" t="str">
        <f>IF(R764 = "", "", COUNT(R$4:$R764))</f>
        <v/>
      </c>
      <c r="Q764" s="193" t="str">
        <f t="shared" si="111"/>
        <v/>
      </c>
      <c r="R764" s="194" t="str">
        <f t="shared" si="112"/>
        <v/>
      </c>
      <c r="S764" s="195" t="str">
        <f t="shared" si="114"/>
        <v/>
      </c>
      <c r="T764" s="196" t="str">
        <f t="shared" si="115"/>
        <v/>
      </c>
      <c r="U764" s="197" t="str">
        <f t="shared" si="116"/>
        <v/>
      </c>
      <c r="V764" s="198" t="str">
        <f t="shared" si="113"/>
        <v/>
      </c>
      <c r="W764" s="339" t="str">
        <f t="shared" si="117"/>
        <v/>
      </c>
      <c r="X764" s="341" t="str">
        <f t="shared" si="118"/>
        <v/>
      </c>
      <c r="Y764" s="277"/>
      <c r="AR764" t="str">
        <f t="shared" si="119"/>
        <v/>
      </c>
      <c r="AS764" t="str">
        <f t="shared" si="120"/>
        <v/>
      </c>
    </row>
    <row r="765" spans="1:45">
      <c r="A765" s="294"/>
      <c r="B765" s="295"/>
      <c r="C765" s="296"/>
      <c r="D765" s="296"/>
      <c r="E765" s="296"/>
      <c r="F765" s="296"/>
      <c r="G765" s="297"/>
      <c r="H765" s="303"/>
      <c r="I765" s="298"/>
      <c r="J765" s="298"/>
      <c r="K765" s="299"/>
      <c r="L765" s="304"/>
      <c r="M765" s="300"/>
      <c r="N765" s="301"/>
      <c r="P765" s="193" t="str">
        <f>IF(R765 = "", "", COUNT(R$4:$R765))</f>
        <v/>
      </c>
      <c r="Q765" s="193" t="str">
        <f t="shared" si="111"/>
        <v/>
      </c>
      <c r="R765" s="194" t="str">
        <f t="shared" si="112"/>
        <v/>
      </c>
      <c r="S765" s="195" t="str">
        <f t="shared" si="114"/>
        <v/>
      </c>
      <c r="T765" s="196" t="str">
        <f t="shared" si="115"/>
        <v/>
      </c>
      <c r="U765" s="197" t="str">
        <f t="shared" si="116"/>
        <v/>
      </c>
      <c r="V765" s="198" t="str">
        <f t="shared" si="113"/>
        <v/>
      </c>
      <c r="W765" s="339" t="str">
        <f t="shared" si="117"/>
        <v/>
      </c>
      <c r="X765" s="341" t="str">
        <f t="shared" si="118"/>
        <v/>
      </c>
      <c r="Y765" s="277"/>
      <c r="AR765" t="str">
        <f t="shared" si="119"/>
        <v/>
      </c>
      <c r="AS765" t="str">
        <f t="shared" si="120"/>
        <v/>
      </c>
    </row>
    <row r="766" spans="1:45">
      <c r="A766" s="294"/>
      <c r="B766" s="295"/>
      <c r="C766" s="296"/>
      <c r="D766" s="296"/>
      <c r="E766" s="296"/>
      <c r="F766" s="296"/>
      <c r="G766" s="297"/>
      <c r="H766" s="303"/>
      <c r="I766" s="298"/>
      <c r="J766" s="298"/>
      <c r="K766" s="299"/>
      <c r="L766" s="304"/>
      <c r="M766" s="300"/>
      <c r="N766" s="301"/>
      <c r="P766" s="193" t="str">
        <f>IF(R766 = "", "", COUNT(R$4:$R766))</f>
        <v/>
      </c>
      <c r="Q766" s="193" t="str">
        <f t="shared" si="111"/>
        <v/>
      </c>
      <c r="R766" s="194" t="str">
        <f t="shared" si="112"/>
        <v/>
      </c>
      <c r="S766" s="195" t="str">
        <f t="shared" si="114"/>
        <v/>
      </c>
      <c r="T766" s="196" t="str">
        <f t="shared" si="115"/>
        <v/>
      </c>
      <c r="U766" s="197" t="str">
        <f t="shared" si="116"/>
        <v/>
      </c>
      <c r="V766" s="198" t="str">
        <f t="shared" si="113"/>
        <v/>
      </c>
      <c r="W766" s="339" t="str">
        <f t="shared" si="117"/>
        <v/>
      </c>
      <c r="X766" s="341" t="str">
        <f t="shared" si="118"/>
        <v/>
      </c>
      <c r="Y766" s="277"/>
      <c r="AR766" t="str">
        <f t="shared" si="119"/>
        <v/>
      </c>
      <c r="AS766" t="str">
        <f t="shared" si="120"/>
        <v/>
      </c>
    </row>
    <row r="767" spans="1:45">
      <c r="A767" s="294"/>
      <c r="B767" s="295"/>
      <c r="C767" s="296"/>
      <c r="D767" s="296"/>
      <c r="E767" s="296"/>
      <c r="F767" s="296"/>
      <c r="G767" s="297"/>
      <c r="H767" s="303"/>
      <c r="I767" s="298"/>
      <c r="J767" s="298"/>
      <c r="K767" s="299"/>
      <c r="L767" s="304"/>
      <c r="M767" s="300"/>
      <c r="N767" s="301"/>
      <c r="P767" s="193" t="str">
        <f>IF(R767 = "", "", COUNT(R$4:$R767))</f>
        <v/>
      </c>
      <c r="Q767" s="193" t="str">
        <f t="shared" si="111"/>
        <v/>
      </c>
      <c r="R767" s="194" t="str">
        <f t="shared" si="112"/>
        <v/>
      </c>
      <c r="S767" s="195" t="str">
        <f t="shared" si="114"/>
        <v/>
      </c>
      <c r="T767" s="196" t="str">
        <f t="shared" si="115"/>
        <v/>
      </c>
      <c r="U767" s="197" t="str">
        <f t="shared" si="116"/>
        <v/>
      </c>
      <c r="V767" s="198" t="str">
        <f t="shared" si="113"/>
        <v/>
      </c>
      <c r="W767" s="339" t="str">
        <f t="shared" si="117"/>
        <v/>
      </c>
      <c r="X767" s="341" t="str">
        <f t="shared" si="118"/>
        <v/>
      </c>
      <c r="Y767" s="277"/>
      <c r="AR767" t="str">
        <f t="shared" si="119"/>
        <v/>
      </c>
      <c r="AS767" t="str">
        <f t="shared" si="120"/>
        <v/>
      </c>
    </row>
    <row r="768" spans="1:45">
      <c r="A768" s="294"/>
      <c r="B768" s="295"/>
      <c r="C768" s="296"/>
      <c r="D768" s="296"/>
      <c r="E768" s="296"/>
      <c r="F768" s="296"/>
      <c r="G768" s="297"/>
      <c r="H768" s="303"/>
      <c r="I768" s="298"/>
      <c r="J768" s="298"/>
      <c r="K768" s="299"/>
      <c r="L768" s="304"/>
      <c r="M768" s="300"/>
      <c r="N768" s="301"/>
      <c r="P768" s="193" t="str">
        <f>IF(R768 = "", "", COUNT(R$4:$R768))</f>
        <v/>
      </c>
      <c r="Q768" s="193" t="str">
        <f t="shared" si="111"/>
        <v/>
      </c>
      <c r="R768" s="194" t="str">
        <f t="shared" si="112"/>
        <v/>
      </c>
      <c r="S768" s="195" t="str">
        <f t="shared" si="114"/>
        <v/>
      </c>
      <c r="T768" s="196" t="str">
        <f t="shared" si="115"/>
        <v/>
      </c>
      <c r="U768" s="197" t="str">
        <f t="shared" si="116"/>
        <v/>
      </c>
      <c r="V768" s="198" t="str">
        <f t="shared" si="113"/>
        <v/>
      </c>
      <c r="W768" s="339" t="str">
        <f t="shared" si="117"/>
        <v/>
      </c>
      <c r="X768" s="341" t="str">
        <f t="shared" si="118"/>
        <v/>
      </c>
      <c r="Y768" s="277"/>
      <c r="AR768" t="str">
        <f t="shared" si="119"/>
        <v/>
      </c>
      <c r="AS768" t="str">
        <f t="shared" si="120"/>
        <v/>
      </c>
    </row>
    <row r="769" spans="1:45">
      <c r="A769" s="294"/>
      <c r="B769" s="295"/>
      <c r="C769" s="296"/>
      <c r="D769" s="296"/>
      <c r="E769" s="296"/>
      <c r="F769" s="296"/>
      <c r="G769" s="297"/>
      <c r="H769" s="303"/>
      <c r="I769" s="298"/>
      <c r="J769" s="298"/>
      <c r="K769" s="299"/>
      <c r="L769" s="304"/>
      <c r="M769" s="300"/>
      <c r="N769" s="301"/>
      <c r="P769" s="193" t="str">
        <f>IF(R769 = "", "", COUNT(R$4:$R769))</f>
        <v/>
      </c>
      <c r="Q769" s="193" t="str">
        <f t="shared" si="111"/>
        <v/>
      </c>
      <c r="R769" s="194" t="str">
        <f t="shared" si="112"/>
        <v/>
      </c>
      <c r="S769" s="195" t="str">
        <f t="shared" si="114"/>
        <v/>
      </c>
      <c r="T769" s="196" t="str">
        <f t="shared" si="115"/>
        <v/>
      </c>
      <c r="U769" s="197" t="str">
        <f t="shared" si="116"/>
        <v/>
      </c>
      <c r="V769" s="198" t="str">
        <f t="shared" si="113"/>
        <v/>
      </c>
      <c r="W769" s="339" t="str">
        <f t="shared" si="117"/>
        <v/>
      </c>
      <c r="X769" s="341" t="str">
        <f t="shared" si="118"/>
        <v/>
      </c>
      <c r="Y769" s="277"/>
      <c r="AR769" t="str">
        <f t="shared" si="119"/>
        <v/>
      </c>
      <c r="AS769" t="str">
        <f t="shared" si="120"/>
        <v/>
      </c>
    </row>
    <row r="770" spans="1:45">
      <c r="A770" s="294"/>
      <c r="B770" s="295"/>
      <c r="C770" s="296"/>
      <c r="D770" s="296"/>
      <c r="E770" s="296"/>
      <c r="F770" s="296"/>
      <c r="G770" s="297"/>
      <c r="H770" s="303"/>
      <c r="I770" s="298"/>
      <c r="J770" s="298"/>
      <c r="K770" s="299"/>
      <c r="L770" s="304"/>
      <c r="M770" s="300"/>
      <c r="N770" s="301"/>
      <c r="P770" s="193" t="str">
        <f>IF(R770 = "", "", COUNT(R$4:$R770))</f>
        <v/>
      </c>
      <c r="Q770" s="193" t="str">
        <f t="shared" si="111"/>
        <v/>
      </c>
      <c r="R770" s="194" t="str">
        <f t="shared" si="112"/>
        <v/>
      </c>
      <c r="S770" s="195" t="str">
        <f t="shared" si="114"/>
        <v/>
      </c>
      <c r="T770" s="196" t="str">
        <f t="shared" si="115"/>
        <v/>
      </c>
      <c r="U770" s="197" t="str">
        <f t="shared" si="116"/>
        <v/>
      </c>
      <c r="V770" s="198" t="str">
        <f t="shared" si="113"/>
        <v/>
      </c>
      <c r="W770" s="339" t="str">
        <f t="shared" si="117"/>
        <v/>
      </c>
      <c r="X770" s="341" t="str">
        <f t="shared" si="118"/>
        <v/>
      </c>
      <c r="Y770" s="277"/>
      <c r="AR770" t="str">
        <f t="shared" si="119"/>
        <v/>
      </c>
      <c r="AS770" t="str">
        <f t="shared" si="120"/>
        <v/>
      </c>
    </row>
    <row r="771" spans="1:45">
      <c r="A771" s="294"/>
      <c r="B771" s="295"/>
      <c r="C771" s="296"/>
      <c r="D771" s="296"/>
      <c r="E771" s="296"/>
      <c r="F771" s="296"/>
      <c r="G771" s="297"/>
      <c r="H771" s="303"/>
      <c r="I771" s="298"/>
      <c r="J771" s="298"/>
      <c r="K771" s="299"/>
      <c r="L771" s="304"/>
      <c r="M771" s="300"/>
      <c r="N771" s="301"/>
      <c r="P771" s="193" t="str">
        <f>IF(R771 = "", "", COUNT(R$4:$R771))</f>
        <v/>
      </c>
      <c r="Q771" s="193" t="str">
        <f t="shared" si="111"/>
        <v/>
      </c>
      <c r="R771" s="194" t="str">
        <f t="shared" si="112"/>
        <v/>
      </c>
      <c r="S771" s="195" t="str">
        <f t="shared" si="114"/>
        <v/>
      </c>
      <c r="T771" s="196" t="str">
        <f t="shared" si="115"/>
        <v/>
      </c>
      <c r="U771" s="197" t="str">
        <f t="shared" si="116"/>
        <v/>
      </c>
      <c r="V771" s="198" t="str">
        <f t="shared" si="113"/>
        <v/>
      </c>
      <c r="W771" s="339" t="str">
        <f t="shared" si="117"/>
        <v/>
      </c>
      <c r="X771" s="341" t="str">
        <f t="shared" si="118"/>
        <v/>
      </c>
      <c r="Y771" s="277"/>
      <c r="AR771" t="str">
        <f t="shared" si="119"/>
        <v/>
      </c>
      <c r="AS771" t="str">
        <f t="shared" si="120"/>
        <v/>
      </c>
    </row>
    <row r="772" spans="1:45">
      <c r="A772" s="294"/>
      <c r="B772" s="295"/>
      <c r="C772" s="296"/>
      <c r="D772" s="296"/>
      <c r="E772" s="296"/>
      <c r="F772" s="296"/>
      <c r="G772" s="297"/>
      <c r="H772" s="303"/>
      <c r="I772" s="298"/>
      <c r="J772" s="298"/>
      <c r="K772" s="299"/>
      <c r="L772" s="304"/>
      <c r="M772" s="300"/>
      <c r="N772" s="301"/>
      <c r="P772" s="193" t="str">
        <f>IF(R772 = "", "", COUNT(R$4:$R772))</f>
        <v/>
      </c>
      <c r="Q772" s="193" t="str">
        <f t="shared" ref="Q772:Q835" si="121">IF(C772 &gt; 0, YEAR(B772), "")</f>
        <v/>
      </c>
      <c r="R772" s="194" t="str">
        <f t="shared" ref="R772:R835" si="122">IF(A772="", "", IF(G772="",1,IF(G772="O",1,IF(G772="C",8.4,IF(G772="B",8.4,IF(G772="A",76.8,IF(G772="K",76.8,"ERR")))))))</f>
        <v/>
      </c>
      <c r="S772" s="195" t="str">
        <f t="shared" si="114"/>
        <v/>
      </c>
      <c r="T772" s="196" t="str">
        <f t="shared" si="115"/>
        <v/>
      </c>
      <c r="U772" s="197" t="str">
        <f t="shared" si="116"/>
        <v/>
      </c>
      <c r="V772" s="198" t="str">
        <f t="shared" ref="V772:V835" si="123">IF(IF(M772&lt;&gt;"",G772,"")=0, "O", IF(M772&lt;&gt;"",G772,""))</f>
        <v/>
      </c>
      <c r="W772" s="339" t="str">
        <f t="shared" si="117"/>
        <v/>
      </c>
      <c r="X772" s="341" t="str">
        <f t="shared" si="118"/>
        <v/>
      </c>
      <c r="Y772" s="277"/>
      <c r="AR772" t="str">
        <f t="shared" si="119"/>
        <v/>
      </c>
      <c r="AS772" t="str">
        <f t="shared" si="120"/>
        <v/>
      </c>
    </row>
    <row r="773" spans="1:45">
      <c r="A773" s="294"/>
      <c r="B773" s="295"/>
      <c r="C773" s="296"/>
      <c r="D773" s="296"/>
      <c r="E773" s="296"/>
      <c r="F773" s="296"/>
      <c r="G773" s="297"/>
      <c r="H773" s="303"/>
      <c r="I773" s="298"/>
      <c r="J773" s="298"/>
      <c r="K773" s="299"/>
      <c r="L773" s="304"/>
      <c r="M773" s="300"/>
      <c r="N773" s="301"/>
      <c r="P773" s="193" t="str">
        <f>IF(R773 = "", "", COUNT(R$4:$R773))</f>
        <v/>
      </c>
      <c r="Q773" s="193" t="str">
        <f t="shared" si="121"/>
        <v/>
      </c>
      <c r="R773" s="194" t="str">
        <f t="shared" si="122"/>
        <v/>
      </c>
      <c r="S773" s="195" t="str">
        <f t="shared" ref="S773:S836" si="124">IF(L773&lt;&gt;"",R773,"")</f>
        <v/>
      </c>
      <c r="T773" s="196" t="str">
        <f t="shared" ref="T773:T836" si="125">IF(IF(L773&lt;&gt;"",G773,"")=0, "O", IF(L773&lt;&gt;"",G773,""))</f>
        <v/>
      </c>
      <c r="U773" s="197" t="str">
        <f t="shared" ref="U773:U836" si="126">IF(M773&lt;&gt;"",R773,"")</f>
        <v/>
      </c>
      <c r="V773" s="198" t="str">
        <f t="shared" si="123"/>
        <v/>
      </c>
      <c r="W773" s="339" t="str">
        <f t="shared" ref="W773:W836" si="127">IF(N773&lt;&gt;"",R773,"")</f>
        <v/>
      </c>
      <c r="X773" s="341" t="str">
        <f t="shared" ref="X773:X836" si="128">IF(IF(N773&lt;&gt;"",G773,"")=0, "O", IF(N773&lt;&gt;"",G773,""))</f>
        <v/>
      </c>
      <c r="Y773" s="277"/>
      <c r="AR773" t="str">
        <f t="shared" ref="AR773:AR836" si="129">IF(P773&gt;0, P773, "")</f>
        <v/>
      </c>
      <c r="AS773" t="str">
        <f t="shared" ref="AS773:AS836" si="130">IF(OR(L773="Y",M773="Y",N773="Y"),"Y","")</f>
        <v/>
      </c>
    </row>
    <row r="774" spans="1:45">
      <c r="A774" s="294"/>
      <c r="B774" s="295"/>
      <c r="C774" s="296"/>
      <c r="D774" s="296"/>
      <c r="E774" s="296"/>
      <c r="F774" s="296"/>
      <c r="G774" s="297"/>
      <c r="H774" s="303"/>
      <c r="I774" s="298"/>
      <c r="J774" s="298"/>
      <c r="K774" s="299"/>
      <c r="L774" s="304"/>
      <c r="M774" s="300"/>
      <c r="N774" s="301"/>
      <c r="P774" s="193" t="str">
        <f>IF(R774 = "", "", COUNT(R$4:$R774))</f>
        <v/>
      </c>
      <c r="Q774" s="193" t="str">
        <f t="shared" si="121"/>
        <v/>
      </c>
      <c r="R774" s="194" t="str">
        <f t="shared" si="122"/>
        <v/>
      </c>
      <c r="S774" s="195" t="str">
        <f t="shared" si="124"/>
        <v/>
      </c>
      <c r="T774" s="196" t="str">
        <f t="shared" si="125"/>
        <v/>
      </c>
      <c r="U774" s="197" t="str">
        <f t="shared" si="126"/>
        <v/>
      </c>
      <c r="V774" s="198" t="str">
        <f t="shared" si="123"/>
        <v/>
      </c>
      <c r="W774" s="339" t="str">
        <f t="shared" si="127"/>
        <v/>
      </c>
      <c r="X774" s="341" t="str">
        <f t="shared" si="128"/>
        <v/>
      </c>
      <c r="Y774" s="277"/>
      <c r="AR774" t="str">
        <f t="shared" si="129"/>
        <v/>
      </c>
      <c r="AS774" t="str">
        <f t="shared" si="130"/>
        <v/>
      </c>
    </row>
    <row r="775" spans="1:45">
      <c r="A775" s="294"/>
      <c r="B775" s="295"/>
      <c r="C775" s="296"/>
      <c r="D775" s="296"/>
      <c r="E775" s="296"/>
      <c r="F775" s="296"/>
      <c r="G775" s="297"/>
      <c r="H775" s="303"/>
      <c r="I775" s="298"/>
      <c r="J775" s="298"/>
      <c r="K775" s="299"/>
      <c r="L775" s="304"/>
      <c r="M775" s="300"/>
      <c r="N775" s="301"/>
      <c r="P775" s="193" t="str">
        <f>IF(R775 = "", "", COUNT(R$4:$R775))</f>
        <v/>
      </c>
      <c r="Q775" s="193" t="str">
        <f t="shared" si="121"/>
        <v/>
      </c>
      <c r="R775" s="194" t="str">
        <f t="shared" si="122"/>
        <v/>
      </c>
      <c r="S775" s="195" t="str">
        <f t="shared" si="124"/>
        <v/>
      </c>
      <c r="T775" s="196" t="str">
        <f t="shared" si="125"/>
        <v/>
      </c>
      <c r="U775" s="197" t="str">
        <f t="shared" si="126"/>
        <v/>
      </c>
      <c r="V775" s="198" t="str">
        <f t="shared" si="123"/>
        <v/>
      </c>
      <c r="W775" s="339" t="str">
        <f t="shared" si="127"/>
        <v/>
      </c>
      <c r="X775" s="341" t="str">
        <f t="shared" si="128"/>
        <v/>
      </c>
      <c r="Y775" s="277"/>
      <c r="AR775" t="str">
        <f t="shared" si="129"/>
        <v/>
      </c>
      <c r="AS775" t="str">
        <f t="shared" si="130"/>
        <v/>
      </c>
    </row>
    <row r="776" spans="1:45">
      <c r="A776" s="294"/>
      <c r="B776" s="295"/>
      <c r="C776" s="296"/>
      <c r="D776" s="296"/>
      <c r="E776" s="296"/>
      <c r="F776" s="296"/>
      <c r="G776" s="297"/>
      <c r="H776" s="303"/>
      <c r="I776" s="298"/>
      <c r="J776" s="298"/>
      <c r="K776" s="299"/>
      <c r="L776" s="304"/>
      <c r="M776" s="300"/>
      <c r="N776" s="301"/>
      <c r="P776" s="193" t="str">
        <f>IF(R776 = "", "", COUNT(R$4:$R776))</f>
        <v/>
      </c>
      <c r="Q776" s="193" t="str">
        <f t="shared" si="121"/>
        <v/>
      </c>
      <c r="R776" s="194" t="str">
        <f t="shared" si="122"/>
        <v/>
      </c>
      <c r="S776" s="195" t="str">
        <f t="shared" si="124"/>
        <v/>
      </c>
      <c r="T776" s="196" t="str">
        <f t="shared" si="125"/>
        <v/>
      </c>
      <c r="U776" s="197" t="str">
        <f t="shared" si="126"/>
        <v/>
      </c>
      <c r="V776" s="198" t="str">
        <f t="shared" si="123"/>
        <v/>
      </c>
      <c r="W776" s="339" t="str">
        <f t="shared" si="127"/>
        <v/>
      </c>
      <c r="X776" s="341" t="str">
        <f t="shared" si="128"/>
        <v/>
      </c>
      <c r="Y776" s="277"/>
      <c r="AR776" t="str">
        <f t="shared" si="129"/>
        <v/>
      </c>
      <c r="AS776" t="str">
        <f t="shared" si="130"/>
        <v/>
      </c>
    </row>
    <row r="777" spans="1:45">
      <c r="A777" s="294"/>
      <c r="B777" s="295"/>
      <c r="C777" s="296"/>
      <c r="D777" s="296"/>
      <c r="E777" s="296"/>
      <c r="F777" s="296"/>
      <c r="G777" s="297"/>
      <c r="H777" s="303"/>
      <c r="I777" s="298"/>
      <c r="J777" s="298"/>
      <c r="K777" s="299"/>
      <c r="L777" s="304"/>
      <c r="M777" s="300"/>
      <c r="N777" s="301"/>
      <c r="P777" s="193" t="str">
        <f>IF(R777 = "", "", COUNT(R$4:$R777))</f>
        <v/>
      </c>
      <c r="Q777" s="193" t="str">
        <f t="shared" si="121"/>
        <v/>
      </c>
      <c r="R777" s="194" t="str">
        <f t="shared" si="122"/>
        <v/>
      </c>
      <c r="S777" s="195" t="str">
        <f t="shared" si="124"/>
        <v/>
      </c>
      <c r="T777" s="196" t="str">
        <f t="shared" si="125"/>
        <v/>
      </c>
      <c r="U777" s="197" t="str">
        <f t="shared" si="126"/>
        <v/>
      </c>
      <c r="V777" s="198" t="str">
        <f t="shared" si="123"/>
        <v/>
      </c>
      <c r="W777" s="339" t="str">
        <f t="shared" si="127"/>
        <v/>
      </c>
      <c r="X777" s="341" t="str">
        <f t="shared" si="128"/>
        <v/>
      </c>
      <c r="Y777" s="277"/>
      <c r="AR777" t="str">
        <f t="shared" si="129"/>
        <v/>
      </c>
      <c r="AS777" t="str">
        <f t="shared" si="130"/>
        <v/>
      </c>
    </row>
    <row r="778" spans="1:45">
      <c r="A778" s="294"/>
      <c r="B778" s="295"/>
      <c r="C778" s="296"/>
      <c r="D778" s="296"/>
      <c r="E778" s="296"/>
      <c r="F778" s="296"/>
      <c r="G778" s="297"/>
      <c r="H778" s="303"/>
      <c r="I778" s="298"/>
      <c r="J778" s="298"/>
      <c r="K778" s="299"/>
      <c r="L778" s="304"/>
      <c r="M778" s="300"/>
      <c r="N778" s="301"/>
      <c r="P778" s="193" t="str">
        <f>IF(R778 = "", "", COUNT(R$4:$R778))</f>
        <v/>
      </c>
      <c r="Q778" s="193" t="str">
        <f t="shared" si="121"/>
        <v/>
      </c>
      <c r="R778" s="194" t="str">
        <f t="shared" si="122"/>
        <v/>
      </c>
      <c r="S778" s="195" t="str">
        <f t="shared" si="124"/>
        <v/>
      </c>
      <c r="T778" s="196" t="str">
        <f t="shared" si="125"/>
        <v/>
      </c>
      <c r="U778" s="197" t="str">
        <f t="shared" si="126"/>
        <v/>
      </c>
      <c r="V778" s="198" t="str">
        <f t="shared" si="123"/>
        <v/>
      </c>
      <c r="W778" s="339" t="str">
        <f t="shared" si="127"/>
        <v/>
      </c>
      <c r="X778" s="341" t="str">
        <f t="shared" si="128"/>
        <v/>
      </c>
      <c r="Y778" s="277"/>
      <c r="AR778" t="str">
        <f t="shared" si="129"/>
        <v/>
      </c>
      <c r="AS778" t="str">
        <f t="shared" si="130"/>
        <v/>
      </c>
    </row>
    <row r="779" spans="1:45">
      <c r="A779" s="294"/>
      <c r="B779" s="295"/>
      <c r="C779" s="296"/>
      <c r="D779" s="296"/>
      <c r="E779" s="296"/>
      <c r="F779" s="296"/>
      <c r="G779" s="297"/>
      <c r="H779" s="303"/>
      <c r="I779" s="298"/>
      <c r="J779" s="298"/>
      <c r="K779" s="299"/>
      <c r="L779" s="304"/>
      <c r="M779" s="300"/>
      <c r="N779" s="301"/>
      <c r="P779" s="193" t="str">
        <f>IF(R779 = "", "", COUNT(R$4:$R779))</f>
        <v/>
      </c>
      <c r="Q779" s="193" t="str">
        <f t="shared" si="121"/>
        <v/>
      </c>
      <c r="R779" s="194" t="str">
        <f t="shared" si="122"/>
        <v/>
      </c>
      <c r="S779" s="195" t="str">
        <f t="shared" si="124"/>
        <v/>
      </c>
      <c r="T779" s="196" t="str">
        <f t="shared" si="125"/>
        <v/>
      </c>
      <c r="U779" s="197" t="str">
        <f t="shared" si="126"/>
        <v/>
      </c>
      <c r="V779" s="198" t="str">
        <f t="shared" si="123"/>
        <v/>
      </c>
      <c r="W779" s="339" t="str">
        <f t="shared" si="127"/>
        <v/>
      </c>
      <c r="X779" s="341" t="str">
        <f t="shared" si="128"/>
        <v/>
      </c>
      <c r="Y779" s="277"/>
      <c r="AR779" t="str">
        <f t="shared" si="129"/>
        <v/>
      </c>
      <c r="AS779" t="str">
        <f t="shared" si="130"/>
        <v/>
      </c>
    </row>
    <row r="780" spans="1:45">
      <c r="A780" s="294"/>
      <c r="B780" s="295"/>
      <c r="C780" s="296"/>
      <c r="D780" s="296"/>
      <c r="E780" s="296"/>
      <c r="F780" s="296"/>
      <c r="G780" s="297"/>
      <c r="H780" s="303"/>
      <c r="I780" s="298"/>
      <c r="J780" s="298"/>
      <c r="K780" s="299"/>
      <c r="L780" s="304"/>
      <c r="M780" s="300"/>
      <c r="N780" s="301"/>
      <c r="P780" s="193" t="str">
        <f>IF(R780 = "", "", COUNT(R$4:$R780))</f>
        <v/>
      </c>
      <c r="Q780" s="193" t="str">
        <f t="shared" si="121"/>
        <v/>
      </c>
      <c r="R780" s="194" t="str">
        <f t="shared" si="122"/>
        <v/>
      </c>
      <c r="S780" s="195" t="str">
        <f t="shared" si="124"/>
        <v/>
      </c>
      <c r="T780" s="196" t="str">
        <f t="shared" si="125"/>
        <v/>
      </c>
      <c r="U780" s="197" t="str">
        <f t="shared" si="126"/>
        <v/>
      </c>
      <c r="V780" s="198" t="str">
        <f t="shared" si="123"/>
        <v/>
      </c>
      <c r="W780" s="339" t="str">
        <f t="shared" si="127"/>
        <v/>
      </c>
      <c r="X780" s="341" t="str">
        <f t="shared" si="128"/>
        <v/>
      </c>
      <c r="Y780" s="277"/>
      <c r="AR780" t="str">
        <f t="shared" si="129"/>
        <v/>
      </c>
      <c r="AS780" t="str">
        <f t="shared" si="130"/>
        <v/>
      </c>
    </row>
    <row r="781" spans="1:45">
      <c r="A781" s="294"/>
      <c r="B781" s="295"/>
      <c r="C781" s="296"/>
      <c r="D781" s="296"/>
      <c r="E781" s="296"/>
      <c r="F781" s="296"/>
      <c r="G781" s="297"/>
      <c r="H781" s="303"/>
      <c r="I781" s="298"/>
      <c r="J781" s="298"/>
      <c r="K781" s="299"/>
      <c r="L781" s="304"/>
      <c r="M781" s="300"/>
      <c r="N781" s="301"/>
      <c r="P781" s="193" t="str">
        <f>IF(R781 = "", "", COUNT(R$4:$R781))</f>
        <v/>
      </c>
      <c r="Q781" s="193" t="str">
        <f t="shared" si="121"/>
        <v/>
      </c>
      <c r="R781" s="194" t="str">
        <f t="shared" si="122"/>
        <v/>
      </c>
      <c r="S781" s="195" t="str">
        <f t="shared" si="124"/>
        <v/>
      </c>
      <c r="T781" s="196" t="str">
        <f t="shared" si="125"/>
        <v/>
      </c>
      <c r="U781" s="197" t="str">
        <f t="shared" si="126"/>
        <v/>
      </c>
      <c r="V781" s="198" t="str">
        <f t="shared" si="123"/>
        <v/>
      </c>
      <c r="W781" s="339" t="str">
        <f t="shared" si="127"/>
        <v/>
      </c>
      <c r="X781" s="341" t="str">
        <f t="shared" si="128"/>
        <v/>
      </c>
      <c r="Y781" s="277"/>
      <c r="AR781" t="str">
        <f t="shared" si="129"/>
        <v/>
      </c>
      <c r="AS781" t="str">
        <f t="shared" si="130"/>
        <v/>
      </c>
    </row>
    <row r="782" spans="1:45">
      <c r="A782" s="294"/>
      <c r="B782" s="295"/>
      <c r="C782" s="296"/>
      <c r="D782" s="296"/>
      <c r="E782" s="296"/>
      <c r="F782" s="296"/>
      <c r="G782" s="297"/>
      <c r="H782" s="303"/>
      <c r="I782" s="298"/>
      <c r="J782" s="298"/>
      <c r="K782" s="299"/>
      <c r="L782" s="304"/>
      <c r="M782" s="300"/>
      <c r="N782" s="301"/>
      <c r="P782" s="193" t="str">
        <f>IF(R782 = "", "", COUNT(R$4:$R782))</f>
        <v/>
      </c>
      <c r="Q782" s="193" t="str">
        <f t="shared" si="121"/>
        <v/>
      </c>
      <c r="R782" s="194" t="str">
        <f t="shared" si="122"/>
        <v/>
      </c>
      <c r="S782" s="195" t="str">
        <f t="shared" si="124"/>
        <v/>
      </c>
      <c r="T782" s="196" t="str">
        <f t="shared" si="125"/>
        <v/>
      </c>
      <c r="U782" s="197" t="str">
        <f t="shared" si="126"/>
        <v/>
      </c>
      <c r="V782" s="198" t="str">
        <f t="shared" si="123"/>
        <v/>
      </c>
      <c r="W782" s="339" t="str">
        <f t="shared" si="127"/>
        <v/>
      </c>
      <c r="X782" s="341" t="str">
        <f t="shared" si="128"/>
        <v/>
      </c>
      <c r="Y782" s="277"/>
      <c r="AR782" t="str">
        <f t="shared" si="129"/>
        <v/>
      </c>
      <c r="AS782" t="str">
        <f t="shared" si="130"/>
        <v/>
      </c>
    </row>
    <row r="783" spans="1:45">
      <c r="A783" s="294"/>
      <c r="B783" s="295"/>
      <c r="C783" s="296"/>
      <c r="D783" s="296"/>
      <c r="E783" s="296"/>
      <c r="F783" s="296"/>
      <c r="G783" s="297"/>
      <c r="H783" s="303"/>
      <c r="I783" s="298"/>
      <c r="J783" s="298"/>
      <c r="K783" s="299"/>
      <c r="L783" s="304"/>
      <c r="M783" s="300"/>
      <c r="N783" s="301"/>
      <c r="P783" s="193" t="str">
        <f>IF(R783 = "", "", COUNT(R$4:$R783))</f>
        <v/>
      </c>
      <c r="Q783" s="193" t="str">
        <f t="shared" si="121"/>
        <v/>
      </c>
      <c r="R783" s="194" t="str">
        <f t="shared" si="122"/>
        <v/>
      </c>
      <c r="S783" s="195" t="str">
        <f t="shared" si="124"/>
        <v/>
      </c>
      <c r="T783" s="196" t="str">
        <f t="shared" si="125"/>
        <v/>
      </c>
      <c r="U783" s="197" t="str">
        <f t="shared" si="126"/>
        <v/>
      </c>
      <c r="V783" s="198" t="str">
        <f t="shared" si="123"/>
        <v/>
      </c>
      <c r="W783" s="339" t="str">
        <f t="shared" si="127"/>
        <v/>
      </c>
      <c r="X783" s="341" t="str">
        <f t="shared" si="128"/>
        <v/>
      </c>
      <c r="Y783" s="277"/>
      <c r="AR783" t="str">
        <f t="shared" si="129"/>
        <v/>
      </c>
      <c r="AS783" t="str">
        <f t="shared" si="130"/>
        <v/>
      </c>
    </row>
    <row r="784" spans="1:45">
      <c r="A784" s="294"/>
      <c r="B784" s="295"/>
      <c r="C784" s="296"/>
      <c r="D784" s="296"/>
      <c r="E784" s="296"/>
      <c r="F784" s="296"/>
      <c r="G784" s="297"/>
      <c r="H784" s="303"/>
      <c r="I784" s="298"/>
      <c r="J784" s="298"/>
      <c r="K784" s="299"/>
      <c r="L784" s="304"/>
      <c r="M784" s="300"/>
      <c r="N784" s="301"/>
      <c r="P784" s="193" t="str">
        <f>IF(R784 = "", "", COUNT(R$4:$R784))</f>
        <v/>
      </c>
      <c r="Q784" s="193" t="str">
        <f t="shared" si="121"/>
        <v/>
      </c>
      <c r="R784" s="194" t="str">
        <f t="shared" si="122"/>
        <v/>
      </c>
      <c r="S784" s="195" t="str">
        <f t="shared" si="124"/>
        <v/>
      </c>
      <c r="T784" s="196" t="str">
        <f t="shared" si="125"/>
        <v/>
      </c>
      <c r="U784" s="197" t="str">
        <f t="shared" si="126"/>
        <v/>
      </c>
      <c r="V784" s="198" t="str">
        <f t="shared" si="123"/>
        <v/>
      </c>
      <c r="W784" s="339" t="str">
        <f t="shared" si="127"/>
        <v/>
      </c>
      <c r="X784" s="341" t="str">
        <f t="shared" si="128"/>
        <v/>
      </c>
      <c r="Y784" s="277"/>
      <c r="AR784" t="str">
        <f t="shared" si="129"/>
        <v/>
      </c>
      <c r="AS784" t="str">
        <f t="shared" si="130"/>
        <v/>
      </c>
    </row>
    <row r="785" spans="1:45">
      <c r="A785" s="294"/>
      <c r="B785" s="295"/>
      <c r="C785" s="296"/>
      <c r="D785" s="296"/>
      <c r="E785" s="296"/>
      <c r="F785" s="296"/>
      <c r="G785" s="297"/>
      <c r="H785" s="303"/>
      <c r="I785" s="298"/>
      <c r="J785" s="298"/>
      <c r="K785" s="299"/>
      <c r="L785" s="304"/>
      <c r="M785" s="300"/>
      <c r="N785" s="301"/>
      <c r="P785" s="193" t="str">
        <f>IF(R785 = "", "", COUNT(R$4:$R785))</f>
        <v/>
      </c>
      <c r="Q785" s="193" t="str">
        <f t="shared" si="121"/>
        <v/>
      </c>
      <c r="R785" s="194" t="str">
        <f t="shared" si="122"/>
        <v/>
      </c>
      <c r="S785" s="195" t="str">
        <f t="shared" si="124"/>
        <v/>
      </c>
      <c r="T785" s="196" t="str">
        <f t="shared" si="125"/>
        <v/>
      </c>
      <c r="U785" s="197" t="str">
        <f t="shared" si="126"/>
        <v/>
      </c>
      <c r="V785" s="198" t="str">
        <f t="shared" si="123"/>
        <v/>
      </c>
      <c r="W785" s="339" t="str">
        <f t="shared" si="127"/>
        <v/>
      </c>
      <c r="X785" s="341" t="str">
        <f t="shared" si="128"/>
        <v/>
      </c>
      <c r="Y785" s="277"/>
      <c r="AR785" t="str">
        <f t="shared" si="129"/>
        <v/>
      </c>
      <c r="AS785" t="str">
        <f t="shared" si="130"/>
        <v/>
      </c>
    </row>
    <row r="786" spans="1:45">
      <c r="A786" s="294"/>
      <c r="B786" s="295"/>
      <c r="C786" s="296"/>
      <c r="D786" s="296"/>
      <c r="E786" s="296"/>
      <c r="F786" s="296"/>
      <c r="G786" s="297"/>
      <c r="H786" s="303"/>
      <c r="I786" s="298"/>
      <c r="J786" s="298"/>
      <c r="K786" s="299"/>
      <c r="L786" s="304"/>
      <c r="M786" s="300"/>
      <c r="N786" s="301"/>
      <c r="P786" s="193" t="str">
        <f>IF(R786 = "", "", COUNT(R$4:$R786))</f>
        <v/>
      </c>
      <c r="Q786" s="193" t="str">
        <f t="shared" si="121"/>
        <v/>
      </c>
      <c r="R786" s="194" t="str">
        <f t="shared" si="122"/>
        <v/>
      </c>
      <c r="S786" s="195" t="str">
        <f t="shared" si="124"/>
        <v/>
      </c>
      <c r="T786" s="196" t="str">
        <f t="shared" si="125"/>
        <v/>
      </c>
      <c r="U786" s="197" t="str">
        <f t="shared" si="126"/>
        <v/>
      </c>
      <c r="V786" s="198" t="str">
        <f t="shared" si="123"/>
        <v/>
      </c>
      <c r="W786" s="339" t="str">
        <f t="shared" si="127"/>
        <v/>
      </c>
      <c r="X786" s="341" t="str">
        <f t="shared" si="128"/>
        <v/>
      </c>
      <c r="Y786" s="277"/>
      <c r="AR786" t="str">
        <f t="shared" si="129"/>
        <v/>
      </c>
      <c r="AS786" t="str">
        <f t="shared" si="130"/>
        <v/>
      </c>
    </row>
    <row r="787" spans="1:45">
      <c r="A787" s="294"/>
      <c r="B787" s="295"/>
      <c r="C787" s="296"/>
      <c r="D787" s="296"/>
      <c r="E787" s="296"/>
      <c r="F787" s="296"/>
      <c r="G787" s="297"/>
      <c r="H787" s="303"/>
      <c r="I787" s="298"/>
      <c r="J787" s="298"/>
      <c r="K787" s="299"/>
      <c r="L787" s="304"/>
      <c r="M787" s="300"/>
      <c r="N787" s="301"/>
      <c r="P787" s="193" t="str">
        <f>IF(R787 = "", "", COUNT(R$4:$R787))</f>
        <v/>
      </c>
      <c r="Q787" s="193" t="str">
        <f t="shared" si="121"/>
        <v/>
      </c>
      <c r="R787" s="194" t="str">
        <f t="shared" si="122"/>
        <v/>
      </c>
      <c r="S787" s="195" t="str">
        <f t="shared" si="124"/>
        <v/>
      </c>
      <c r="T787" s="196" t="str">
        <f t="shared" si="125"/>
        <v/>
      </c>
      <c r="U787" s="197" t="str">
        <f t="shared" si="126"/>
        <v/>
      </c>
      <c r="V787" s="198" t="str">
        <f t="shared" si="123"/>
        <v/>
      </c>
      <c r="W787" s="339" t="str">
        <f t="shared" si="127"/>
        <v/>
      </c>
      <c r="X787" s="341" t="str">
        <f t="shared" si="128"/>
        <v/>
      </c>
      <c r="Y787" s="277"/>
      <c r="AR787" t="str">
        <f t="shared" si="129"/>
        <v/>
      </c>
      <c r="AS787" t="str">
        <f t="shared" si="130"/>
        <v/>
      </c>
    </row>
    <row r="788" spans="1:45">
      <c r="A788" s="294"/>
      <c r="B788" s="295"/>
      <c r="C788" s="296"/>
      <c r="D788" s="296"/>
      <c r="E788" s="296"/>
      <c r="F788" s="296"/>
      <c r="G788" s="297"/>
      <c r="H788" s="303"/>
      <c r="I788" s="298"/>
      <c r="J788" s="298"/>
      <c r="K788" s="299"/>
      <c r="L788" s="304"/>
      <c r="M788" s="300"/>
      <c r="N788" s="301"/>
      <c r="P788" s="193" t="str">
        <f>IF(R788 = "", "", COUNT(R$4:$R788))</f>
        <v/>
      </c>
      <c r="Q788" s="193" t="str">
        <f t="shared" si="121"/>
        <v/>
      </c>
      <c r="R788" s="194" t="str">
        <f t="shared" si="122"/>
        <v/>
      </c>
      <c r="S788" s="195" t="str">
        <f t="shared" si="124"/>
        <v/>
      </c>
      <c r="T788" s="196" t="str">
        <f t="shared" si="125"/>
        <v/>
      </c>
      <c r="U788" s="197" t="str">
        <f t="shared" si="126"/>
        <v/>
      </c>
      <c r="V788" s="198" t="str">
        <f t="shared" si="123"/>
        <v/>
      </c>
      <c r="W788" s="339" t="str">
        <f t="shared" si="127"/>
        <v/>
      </c>
      <c r="X788" s="341" t="str">
        <f t="shared" si="128"/>
        <v/>
      </c>
      <c r="Y788" s="277"/>
      <c r="AR788" t="str">
        <f t="shared" si="129"/>
        <v/>
      </c>
      <c r="AS788" t="str">
        <f t="shared" si="130"/>
        <v/>
      </c>
    </row>
    <row r="789" spans="1:45">
      <c r="A789" s="294"/>
      <c r="B789" s="295"/>
      <c r="C789" s="296"/>
      <c r="D789" s="296"/>
      <c r="E789" s="296"/>
      <c r="F789" s="296"/>
      <c r="G789" s="297"/>
      <c r="H789" s="303"/>
      <c r="I789" s="298"/>
      <c r="J789" s="298"/>
      <c r="K789" s="299"/>
      <c r="L789" s="304"/>
      <c r="M789" s="300"/>
      <c r="N789" s="301"/>
      <c r="P789" s="193" t="str">
        <f>IF(R789 = "", "", COUNT(R$4:$R789))</f>
        <v/>
      </c>
      <c r="Q789" s="193" t="str">
        <f t="shared" si="121"/>
        <v/>
      </c>
      <c r="R789" s="194" t="str">
        <f t="shared" si="122"/>
        <v/>
      </c>
      <c r="S789" s="195" t="str">
        <f t="shared" si="124"/>
        <v/>
      </c>
      <c r="T789" s="196" t="str">
        <f t="shared" si="125"/>
        <v/>
      </c>
      <c r="U789" s="197" t="str">
        <f t="shared" si="126"/>
        <v/>
      </c>
      <c r="V789" s="198" t="str">
        <f t="shared" si="123"/>
        <v/>
      </c>
      <c r="W789" s="339" t="str">
        <f t="shared" si="127"/>
        <v/>
      </c>
      <c r="X789" s="341" t="str">
        <f t="shared" si="128"/>
        <v/>
      </c>
      <c r="Y789" s="277"/>
      <c r="AR789" t="str">
        <f t="shared" si="129"/>
        <v/>
      </c>
      <c r="AS789" t="str">
        <f t="shared" si="130"/>
        <v/>
      </c>
    </row>
    <row r="790" spans="1:45">
      <c r="A790" s="294"/>
      <c r="B790" s="295"/>
      <c r="C790" s="296"/>
      <c r="D790" s="296"/>
      <c r="E790" s="296"/>
      <c r="F790" s="296"/>
      <c r="G790" s="297"/>
      <c r="H790" s="303"/>
      <c r="I790" s="298"/>
      <c r="J790" s="298"/>
      <c r="K790" s="299"/>
      <c r="L790" s="304"/>
      <c r="M790" s="300"/>
      <c r="N790" s="301"/>
      <c r="P790" s="193" t="str">
        <f>IF(R790 = "", "", COUNT(R$4:$R790))</f>
        <v/>
      </c>
      <c r="Q790" s="193" t="str">
        <f t="shared" si="121"/>
        <v/>
      </c>
      <c r="R790" s="194" t="str">
        <f t="shared" si="122"/>
        <v/>
      </c>
      <c r="S790" s="195" t="str">
        <f t="shared" si="124"/>
        <v/>
      </c>
      <c r="T790" s="196" t="str">
        <f t="shared" si="125"/>
        <v/>
      </c>
      <c r="U790" s="197" t="str">
        <f t="shared" si="126"/>
        <v/>
      </c>
      <c r="V790" s="198" t="str">
        <f t="shared" si="123"/>
        <v/>
      </c>
      <c r="W790" s="339" t="str">
        <f t="shared" si="127"/>
        <v/>
      </c>
      <c r="X790" s="341" t="str">
        <f t="shared" si="128"/>
        <v/>
      </c>
      <c r="Y790" s="277"/>
      <c r="AR790" t="str">
        <f t="shared" si="129"/>
        <v/>
      </c>
      <c r="AS790" t="str">
        <f t="shared" si="130"/>
        <v/>
      </c>
    </row>
    <row r="791" spans="1:45">
      <c r="A791" s="294"/>
      <c r="B791" s="295"/>
      <c r="C791" s="296"/>
      <c r="D791" s="296"/>
      <c r="E791" s="296"/>
      <c r="F791" s="296"/>
      <c r="G791" s="297"/>
      <c r="H791" s="303"/>
      <c r="I791" s="298"/>
      <c r="J791" s="298"/>
      <c r="K791" s="299"/>
      <c r="L791" s="304"/>
      <c r="M791" s="300"/>
      <c r="N791" s="301"/>
      <c r="P791" s="193" t="str">
        <f>IF(R791 = "", "", COUNT(R$4:$R791))</f>
        <v/>
      </c>
      <c r="Q791" s="193" t="str">
        <f t="shared" si="121"/>
        <v/>
      </c>
      <c r="R791" s="194" t="str">
        <f t="shared" si="122"/>
        <v/>
      </c>
      <c r="S791" s="195" t="str">
        <f t="shared" si="124"/>
        <v/>
      </c>
      <c r="T791" s="196" t="str">
        <f t="shared" si="125"/>
        <v/>
      </c>
      <c r="U791" s="197" t="str">
        <f t="shared" si="126"/>
        <v/>
      </c>
      <c r="V791" s="198" t="str">
        <f t="shared" si="123"/>
        <v/>
      </c>
      <c r="W791" s="339" t="str">
        <f t="shared" si="127"/>
        <v/>
      </c>
      <c r="X791" s="341" t="str">
        <f t="shared" si="128"/>
        <v/>
      </c>
      <c r="Y791" s="277"/>
      <c r="AR791" t="str">
        <f t="shared" si="129"/>
        <v/>
      </c>
      <c r="AS791" t="str">
        <f t="shared" si="130"/>
        <v/>
      </c>
    </row>
    <row r="792" spans="1:45">
      <c r="A792" s="294"/>
      <c r="B792" s="295"/>
      <c r="C792" s="296"/>
      <c r="D792" s="296"/>
      <c r="E792" s="296"/>
      <c r="F792" s="296"/>
      <c r="G792" s="297"/>
      <c r="H792" s="303"/>
      <c r="I792" s="298"/>
      <c r="J792" s="298"/>
      <c r="K792" s="299"/>
      <c r="L792" s="304"/>
      <c r="M792" s="300"/>
      <c r="N792" s="301"/>
      <c r="P792" s="193" t="str">
        <f>IF(R792 = "", "", COUNT(R$4:$R792))</f>
        <v/>
      </c>
      <c r="Q792" s="193" t="str">
        <f t="shared" si="121"/>
        <v/>
      </c>
      <c r="R792" s="194" t="str">
        <f t="shared" si="122"/>
        <v/>
      </c>
      <c r="S792" s="195" t="str">
        <f t="shared" si="124"/>
        <v/>
      </c>
      <c r="T792" s="196" t="str">
        <f t="shared" si="125"/>
        <v/>
      </c>
      <c r="U792" s="197" t="str">
        <f t="shared" si="126"/>
        <v/>
      </c>
      <c r="V792" s="198" t="str">
        <f t="shared" si="123"/>
        <v/>
      </c>
      <c r="W792" s="339" t="str">
        <f t="shared" si="127"/>
        <v/>
      </c>
      <c r="X792" s="341" t="str">
        <f t="shared" si="128"/>
        <v/>
      </c>
      <c r="Y792" s="277"/>
      <c r="AR792" t="str">
        <f t="shared" si="129"/>
        <v/>
      </c>
      <c r="AS792" t="str">
        <f t="shared" si="130"/>
        <v/>
      </c>
    </row>
    <row r="793" spans="1:45">
      <c r="A793" s="294"/>
      <c r="B793" s="295"/>
      <c r="C793" s="296"/>
      <c r="D793" s="296"/>
      <c r="E793" s="296"/>
      <c r="F793" s="296"/>
      <c r="G793" s="297"/>
      <c r="H793" s="303"/>
      <c r="I793" s="298"/>
      <c r="J793" s="298"/>
      <c r="K793" s="299"/>
      <c r="L793" s="304"/>
      <c r="M793" s="300"/>
      <c r="N793" s="301"/>
      <c r="P793" s="193" t="str">
        <f>IF(R793 = "", "", COUNT(R$4:$R793))</f>
        <v/>
      </c>
      <c r="Q793" s="193" t="str">
        <f t="shared" si="121"/>
        <v/>
      </c>
      <c r="R793" s="194" t="str">
        <f t="shared" si="122"/>
        <v/>
      </c>
      <c r="S793" s="195" t="str">
        <f t="shared" si="124"/>
        <v/>
      </c>
      <c r="T793" s="196" t="str">
        <f t="shared" si="125"/>
        <v/>
      </c>
      <c r="U793" s="197" t="str">
        <f t="shared" si="126"/>
        <v/>
      </c>
      <c r="V793" s="198" t="str">
        <f t="shared" si="123"/>
        <v/>
      </c>
      <c r="W793" s="339" t="str">
        <f t="shared" si="127"/>
        <v/>
      </c>
      <c r="X793" s="341" t="str">
        <f t="shared" si="128"/>
        <v/>
      </c>
      <c r="Y793" s="277"/>
      <c r="AR793" t="str">
        <f t="shared" si="129"/>
        <v/>
      </c>
      <c r="AS793" t="str">
        <f t="shared" si="130"/>
        <v/>
      </c>
    </row>
    <row r="794" spans="1:45">
      <c r="A794" s="294"/>
      <c r="B794" s="295"/>
      <c r="C794" s="296"/>
      <c r="D794" s="296"/>
      <c r="E794" s="296"/>
      <c r="F794" s="296"/>
      <c r="G794" s="297"/>
      <c r="H794" s="303"/>
      <c r="I794" s="298"/>
      <c r="J794" s="298"/>
      <c r="K794" s="299"/>
      <c r="L794" s="304"/>
      <c r="M794" s="300"/>
      <c r="N794" s="301"/>
      <c r="P794" s="193" t="str">
        <f>IF(R794 = "", "", COUNT(R$4:$R794))</f>
        <v/>
      </c>
      <c r="Q794" s="193" t="str">
        <f t="shared" si="121"/>
        <v/>
      </c>
      <c r="R794" s="194" t="str">
        <f t="shared" si="122"/>
        <v/>
      </c>
      <c r="S794" s="195" t="str">
        <f t="shared" si="124"/>
        <v/>
      </c>
      <c r="T794" s="196" t="str">
        <f t="shared" si="125"/>
        <v/>
      </c>
      <c r="U794" s="197" t="str">
        <f t="shared" si="126"/>
        <v/>
      </c>
      <c r="V794" s="198" t="str">
        <f t="shared" si="123"/>
        <v/>
      </c>
      <c r="W794" s="339" t="str">
        <f t="shared" si="127"/>
        <v/>
      </c>
      <c r="X794" s="341" t="str">
        <f t="shared" si="128"/>
        <v/>
      </c>
      <c r="Y794" s="277"/>
      <c r="AR794" t="str">
        <f t="shared" si="129"/>
        <v/>
      </c>
      <c r="AS794" t="str">
        <f t="shared" si="130"/>
        <v/>
      </c>
    </row>
    <row r="795" spans="1:45">
      <c r="A795" s="294"/>
      <c r="B795" s="295"/>
      <c r="C795" s="296"/>
      <c r="D795" s="296"/>
      <c r="E795" s="296"/>
      <c r="F795" s="296"/>
      <c r="G795" s="297"/>
      <c r="H795" s="303"/>
      <c r="I795" s="298"/>
      <c r="J795" s="298"/>
      <c r="K795" s="299"/>
      <c r="L795" s="304"/>
      <c r="M795" s="300"/>
      <c r="N795" s="301"/>
      <c r="P795" s="193" t="str">
        <f>IF(R795 = "", "", COUNT(R$4:$R795))</f>
        <v/>
      </c>
      <c r="Q795" s="193" t="str">
        <f t="shared" si="121"/>
        <v/>
      </c>
      <c r="R795" s="194" t="str">
        <f t="shared" si="122"/>
        <v/>
      </c>
      <c r="S795" s="195" t="str">
        <f t="shared" si="124"/>
        <v/>
      </c>
      <c r="T795" s="196" t="str">
        <f t="shared" si="125"/>
        <v/>
      </c>
      <c r="U795" s="197" t="str">
        <f t="shared" si="126"/>
        <v/>
      </c>
      <c r="V795" s="198" t="str">
        <f t="shared" si="123"/>
        <v/>
      </c>
      <c r="W795" s="339" t="str">
        <f t="shared" si="127"/>
        <v/>
      </c>
      <c r="X795" s="341" t="str">
        <f t="shared" si="128"/>
        <v/>
      </c>
      <c r="Y795" s="277"/>
      <c r="AR795" t="str">
        <f t="shared" si="129"/>
        <v/>
      </c>
      <c r="AS795" t="str">
        <f t="shared" si="130"/>
        <v/>
      </c>
    </row>
    <row r="796" spans="1:45">
      <c r="A796" s="294"/>
      <c r="B796" s="295"/>
      <c r="C796" s="296"/>
      <c r="D796" s="296"/>
      <c r="E796" s="296"/>
      <c r="F796" s="296"/>
      <c r="G796" s="297"/>
      <c r="H796" s="303"/>
      <c r="I796" s="298"/>
      <c r="J796" s="298"/>
      <c r="K796" s="299"/>
      <c r="L796" s="304"/>
      <c r="M796" s="300"/>
      <c r="N796" s="301"/>
      <c r="P796" s="193" t="str">
        <f>IF(R796 = "", "", COUNT(R$4:$R796))</f>
        <v/>
      </c>
      <c r="Q796" s="193" t="str">
        <f t="shared" si="121"/>
        <v/>
      </c>
      <c r="R796" s="194" t="str">
        <f t="shared" si="122"/>
        <v/>
      </c>
      <c r="S796" s="195" t="str">
        <f t="shared" si="124"/>
        <v/>
      </c>
      <c r="T796" s="196" t="str">
        <f t="shared" si="125"/>
        <v/>
      </c>
      <c r="U796" s="197" t="str">
        <f t="shared" si="126"/>
        <v/>
      </c>
      <c r="V796" s="198" t="str">
        <f t="shared" si="123"/>
        <v/>
      </c>
      <c r="W796" s="339" t="str">
        <f t="shared" si="127"/>
        <v/>
      </c>
      <c r="X796" s="341" t="str">
        <f t="shared" si="128"/>
        <v/>
      </c>
      <c r="Y796" s="277"/>
      <c r="AR796" t="str">
        <f t="shared" si="129"/>
        <v/>
      </c>
      <c r="AS796" t="str">
        <f t="shared" si="130"/>
        <v/>
      </c>
    </row>
    <row r="797" spans="1:45">
      <c r="A797" s="294"/>
      <c r="B797" s="295"/>
      <c r="C797" s="296"/>
      <c r="D797" s="296"/>
      <c r="E797" s="296"/>
      <c r="F797" s="296"/>
      <c r="G797" s="297"/>
      <c r="H797" s="303"/>
      <c r="I797" s="298"/>
      <c r="J797" s="298"/>
      <c r="K797" s="299"/>
      <c r="L797" s="304"/>
      <c r="M797" s="300"/>
      <c r="N797" s="301"/>
      <c r="P797" s="193" t="str">
        <f>IF(R797 = "", "", COUNT(R$4:$R797))</f>
        <v/>
      </c>
      <c r="Q797" s="193" t="str">
        <f t="shared" si="121"/>
        <v/>
      </c>
      <c r="R797" s="194" t="str">
        <f t="shared" si="122"/>
        <v/>
      </c>
      <c r="S797" s="195" t="str">
        <f t="shared" si="124"/>
        <v/>
      </c>
      <c r="T797" s="196" t="str">
        <f t="shared" si="125"/>
        <v/>
      </c>
      <c r="U797" s="197" t="str">
        <f t="shared" si="126"/>
        <v/>
      </c>
      <c r="V797" s="198" t="str">
        <f t="shared" si="123"/>
        <v/>
      </c>
      <c r="W797" s="339" t="str">
        <f t="shared" si="127"/>
        <v/>
      </c>
      <c r="X797" s="341" t="str">
        <f t="shared" si="128"/>
        <v/>
      </c>
      <c r="Y797" s="277"/>
      <c r="AR797" t="str">
        <f t="shared" si="129"/>
        <v/>
      </c>
      <c r="AS797" t="str">
        <f t="shared" si="130"/>
        <v/>
      </c>
    </row>
    <row r="798" spans="1:45">
      <c r="A798" s="294"/>
      <c r="B798" s="295"/>
      <c r="C798" s="296"/>
      <c r="D798" s="296"/>
      <c r="E798" s="296"/>
      <c r="F798" s="296"/>
      <c r="G798" s="297"/>
      <c r="H798" s="303"/>
      <c r="I798" s="298"/>
      <c r="J798" s="298"/>
      <c r="K798" s="299"/>
      <c r="L798" s="304"/>
      <c r="M798" s="300"/>
      <c r="N798" s="301"/>
      <c r="P798" s="193" t="str">
        <f>IF(R798 = "", "", COUNT(R$4:$R798))</f>
        <v/>
      </c>
      <c r="Q798" s="193" t="str">
        <f t="shared" si="121"/>
        <v/>
      </c>
      <c r="R798" s="194" t="str">
        <f t="shared" si="122"/>
        <v/>
      </c>
      <c r="S798" s="195" t="str">
        <f t="shared" si="124"/>
        <v/>
      </c>
      <c r="T798" s="196" t="str">
        <f t="shared" si="125"/>
        <v/>
      </c>
      <c r="U798" s="197" t="str">
        <f t="shared" si="126"/>
        <v/>
      </c>
      <c r="V798" s="198" t="str">
        <f t="shared" si="123"/>
        <v/>
      </c>
      <c r="W798" s="339" t="str">
        <f t="shared" si="127"/>
        <v/>
      </c>
      <c r="X798" s="341" t="str">
        <f t="shared" si="128"/>
        <v/>
      </c>
      <c r="Y798" s="277"/>
      <c r="AR798" t="str">
        <f t="shared" si="129"/>
        <v/>
      </c>
      <c r="AS798" t="str">
        <f t="shared" si="130"/>
        <v/>
      </c>
    </row>
    <row r="799" spans="1:45">
      <c r="A799" s="294"/>
      <c r="B799" s="295"/>
      <c r="C799" s="296"/>
      <c r="D799" s="296"/>
      <c r="E799" s="296"/>
      <c r="F799" s="296"/>
      <c r="G799" s="297"/>
      <c r="H799" s="303"/>
      <c r="I799" s="298"/>
      <c r="J799" s="298"/>
      <c r="K799" s="299"/>
      <c r="L799" s="304"/>
      <c r="M799" s="300"/>
      <c r="N799" s="301"/>
      <c r="P799" s="193" t="str">
        <f>IF(R799 = "", "", COUNT(R$4:$R799))</f>
        <v/>
      </c>
      <c r="Q799" s="193" t="str">
        <f t="shared" si="121"/>
        <v/>
      </c>
      <c r="R799" s="194" t="str">
        <f t="shared" si="122"/>
        <v/>
      </c>
      <c r="S799" s="195" t="str">
        <f t="shared" si="124"/>
        <v/>
      </c>
      <c r="T799" s="196" t="str">
        <f t="shared" si="125"/>
        <v/>
      </c>
      <c r="U799" s="197" t="str">
        <f t="shared" si="126"/>
        <v/>
      </c>
      <c r="V799" s="198" t="str">
        <f t="shared" si="123"/>
        <v/>
      </c>
      <c r="W799" s="339" t="str">
        <f t="shared" si="127"/>
        <v/>
      </c>
      <c r="X799" s="341" t="str">
        <f t="shared" si="128"/>
        <v/>
      </c>
      <c r="Y799" s="277"/>
      <c r="AR799" t="str">
        <f t="shared" si="129"/>
        <v/>
      </c>
      <c r="AS799" t="str">
        <f t="shared" si="130"/>
        <v/>
      </c>
    </row>
    <row r="800" spans="1:45">
      <c r="A800" s="294"/>
      <c r="B800" s="295"/>
      <c r="C800" s="296"/>
      <c r="D800" s="296"/>
      <c r="E800" s="296"/>
      <c r="F800" s="296"/>
      <c r="G800" s="297"/>
      <c r="H800" s="303"/>
      <c r="I800" s="298"/>
      <c r="J800" s="298"/>
      <c r="K800" s="299"/>
      <c r="L800" s="304"/>
      <c r="M800" s="300"/>
      <c r="N800" s="301"/>
      <c r="P800" s="193" t="str">
        <f>IF(R800 = "", "", COUNT(R$4:$R800))</f>
        <v/>
      </c>
      <c r="Q800" s="193" t="str">
        <f t="shared" si="121"/>
        <v/>
      </c>
      <c r="R800" s="194" t="str">
        <f t="shared" si="122"/>
        <v/>
      </c>
      <c r="S800" s="195" t="str">
        <f t="shared" si="124"/>
        <v/>
      </c>
      <c r="T800" s="196" t="str">
        <f t="shared" si="125"/>
        <v/>
      </c>
      <c r="U800" s="197" t="str">
        <f t="shared" si="126"/>
        <v/>
      </c>
      <c r="V800" s="198" t="str">
        <f t="shared" si="123"/>
        <v/>
      </c>
      <c r="W800" s="339" t="str">
        <f t="shared" si="127"/>
        <v/>
      </c>
      <c r="X800" s="341" t="str">
        <f t="shared" si="128"/>
        <v/>
      </c>
      <c r="Y800" s="277"/>
      <c r="AR800" t="str">
        <f t="shared" si="129"/>
        <v/>
      </c>
      <c r="AS800" t="str">
        <f t="shared" si="130"/>
        <v/>
      </c>
    </row>
    <row r="801" spans="1:45">
      <c r="A801" s="294"/>
      <c r="B801" s="295"/>
      <c r="C801" s="296"/>
      <c r="D801" s="296"/>
      <c r="E801" s="296"/>
      <c r="F801" s="296"/>
      <c r="G801" s="297"/>
      <c r="H801" s="303"/>
      <c r="I801" s="298"/>
      <c r="J801" s="298"/>
      <c r="K801" s="299"/>
      <c r="L801" s="304"/>
      <c r="M801" s="300"/>
      <c r="N801" s="301"/>
      <c r="P801" s="193" t="str">
        <f>IF(R801 = "", "", COUNT(R$4:$R801))</f>
        <v/>
      </c>
      <c r="Q801" s="193" t="str">
        <f t="shared" si="121"/>
        <v/>
      </c>
      <c r="R801" s="194" t="str">
        <f t="shared" si="122"/>
        <v/>
      </c>
      <c r="S801" s="195" t="str">
        <f t="shared" si="124"/>
        <v/>
      </c>
      <c r="T801" s="196" t="str">
        <f t="shared" si="125"/>
        <v/>
      </c>
      <c r="U801" s="197" t="str">
        <f t="shared" si="126"/>
        <v/>
      </c>
      <c r="V801" s="198" t="str">
        <f t="shared" si="123"/>
        <v/>
      </c>
      <c r="W801" s="339" t="str">
        <f t="shared" si="127"/>
        <v/>
      </c>
      <c r="X801" s="341" t="str">
        <f t="shared" si="128"/>
        <v/>
      </c>
      <c r="Y801" s="277"/>
      <c r="AR801" t="str">
        <f t="shared" si="129"/>
        <v/>
      </c>
      <c r="AS801" t="str">
        <f t="shared" si="130"/>
        <v/>
      </c>
    </row>
    <row r="802" spans="1:45">
      <c r="A802" s="294"/>
      <c r="B802" s="295"/>
      <c r="C802" s="296"/>
      <c r="D802" s="296"/>
      <c r="E802" s="296"/>
      <c r="F802" s="296"/>
      <c r="G802" s="297"/>
      <c r="H802" s="303"/>
      <c r="I802" s="298"/>
      <c r="J802" s="298"/>
      <c r="K802" s="299"/>
      <c r="L802" s="304"/>
      <c r="M802" s="300"/>
      <c r="N802" s="301"/>
      <c r="P802" s="193" t="str">
        <f>IF(R802 = "", "", COUNT(R$4:$R802))</f>
        <v/>
      </c>
      <c r="Q802" s="193" t="str">
        <f t="shared" si="121"/>
        <v/>
      </c>
      <c r="R802" s="194" t="str">
        <f t="shared" si="122"/>
        <v/>
      </c>
      <c r="S802" s="195" t="str">
        <f t="shared" si="124"/>
        <v/>
      </c>
      <c r="T802" s="196" t="str">
        <f t="shared" si="125"/>
        <v/>
      </c>
      <c r="U802" s="197" t="str">
        <f t="shared" si="126"/>
        <v/>
      </c>
      <c r="V802" s="198" t="str">
        <f t="shared" si="123"/>
        <v/>
      </c>
      <c r="W802" s="339" t="str">
        <f t="shared" si="127"/>
        <v/>
      </c>
      <c r="X802" s="341" t="str">
        <f t="shared" si="128"/>
        <v/>
      </c>
      <c r="Y802" s="277"/>
      <c r="AR802" t="str">
        <f t="shared" si="129"/>
        <v/>
      </c>
      <c r="AS802" t="str">
        <f t="shared" si="130"/>
        <v/>
      </c>
    </row>
    <row r="803" spans="1:45">
      <c r="A803" s="294"/>
      <c r="B803" s="295"/>
      <c r="C803" s="296"/>
      <c r="D803" s="296"/>
      <c r="E803" s="296"/>
      <c r="F803" s="296"/>
      <c r="G803" s="297"/>
      <c r="H803" s="303"/>
      <c r="I803" s="298"/>
      <c r="J803" s="298"/>
      <c r="K803" s="299"/>
      <c r="L803" s="304"/>
      <c r="M803" s="300"/>
      <c r="N803" s="301"/>
      <c r="P803" s="193" t="str">
        <f>IF(R803 = "", "", COUNT(R$4:$R803))</f>
        <v/>
      </c>
      <c r="Q803" s="193" t="str">
        <f t="shared" si="121"/>
        <v/>
      </c>
      <c r="R803" s="194" t="str">
        <f t="shared" si="122"/>
        <v/>
      </c>
      <c r="S803" s="195" t="str">
        <f t="shared" si="124"/>
        <v/>
      </c>
      <c r="T803" s="196" t="str">
        <f t="shared" si="125"/>
        <v/>
      </c>
      <c r="U803" s="197" t="str">
        <f t="shared" si="126"/>
        <v/>
      </c>
      <c r="V803" s="198" t="str">
        <f t="shared" si="123"/>
        <v/>
      </c>
      <c r="W803" s="339" t="str">
        <f t="shared" si="127"/>
        <v/>
      </c>
      <c r="X803" s="341" t="str">
        <f t="shared" si="128"/>
        <v/>
      </c>
      <c r="Y803" s="277"/>
      <c r="AR803" t="str">
        <f t="shared" si="129"/>
        <v/>
      </c>
      <c r="AS803" t="str">
        <f t="shared" si="130"/>
        <v/>
      </c>
    </row>
    <row r="804" spans="1:45">
      <c r="A804" s="294"/>
      <c r="B804" s="295"/>
      <c r="C804" s="296"/>
      <c r="D804" s="296"/>
      <c r="E804" s="296"/>
      <c r="F804" s="296"/>
      <c r="G804" s="297"/>
      <c r="H804" s="303"/>
      <c r="I804" s="298"/>
      <c r="J804" s="298"/>
      <c r="K804" s="299"/>
      <c r="L804" s="304"/>
      <c r="M804" s="300"/>
      <c r="N804" s="301"/>
      <c r="P804" s="193" t="str">
        <f>IF(R804 = "", "", COUNT(R$4:$R804))</f>
        <v/>
      </c>
      <c r="Q804" s="193" t="str">
        <f t="shared" si="121"/>
        <v/>
      </c>
      <c r="R804" s="194" t="str">
        <f t="shared" si="122"/>
        <v/>
      </c>
      <c r="S804" s="195" t="str">
        <f t="shared" si="124"/>
        <v/>
      </c>
      <c r="T804" s="196" t="str">
        <f t="shared" si="125"/>
        <v/>
      </c>
      <c r="U804" s="197" t="str">
        <f t="shared" si="126"/>
        <v/>
      </c>
      <c r="V804" s="198" t="str">
        <f t="shared" si="123"/>
        <v/>
      </c>
      <c r="W804" s="339" t="str">
        <f t="shared" si="127"/>
        <v/>
      </c>
      <c r="X804" s="341" t="str">
        <f t="shared" si="128"/>
        <v/>
      </c>
      <c r="Y804" s="277"/>
      <c r="AR804" t="str">
        <f t="shared" si="129"/>
        <v/>
      </c>
      <c r="AS804" t="str">
        <f t="shared" si="130"/>
        <v/>
      </c>
    </row>
    <row r="805" spans="1:45">
      <c r="A805" s="294"/>
      <c r="B805" s="295"/>
      <c r="C805" s="296"/>
      <c r="D805" s="296"/>
      <c r="E805" s="296"/>
      <c r="F805" s="296"/>
      <c r="G805" s="297"/>
      <c r="H805" s="303"/>
      <c r="I805" s="298"/>
      <c r="J805" s="298"/>
      <c r="K805" s="299"/>
      <c r="L805" s="304"/>
      <c r="M805" s="300"/>
      <c r="N805" s="301"/>
      <c r="P805" s="193" t="str">
        <f>IF(R805 = "", "", COUNT(R$4:$R805))</f>
        <v/>
      </c>
      <c r="Q805" s="193" t="str">
        <f t="shared" si="121"/>
        <v/>
      </c>
      <c r="R805" s="194" t="str">
        <f t="shared" si="122"/>
        <v/>
      </c>
      <c r="S805" s="195" t="str">
        <f t="shared" si="124"/>
        <v/>
      </c>
      <c r="T805" s="196" t="str">
        <f t="shared" si="125"/>
        <v/>
      </c>
      <c r="U805" s="197" t="str">
        <f t="shared" si="126"/>
        <v/>
      </c>
      <c r="V805" s="198" t="str">
        <f t="shared" si="123"/>
        <v/>
      </c>
      <c r="W805" s="339" t="str">
        <f t="shared" si="127"/>
        <v/>
      </c>
      <c r="X805" s="341" t="str">
        <f t="shared" si="128"/>
        <v/>
      </c>
      <c r="Y805" s="277"/>
      <c r="AR805" t="str">
        <f t="shared" si="129"/>
        <v/>
      </c>
      <c r="AS805" t="str">
        <f t="shared" si="130"/>
        <v/>
      </c>
    </row>
    <row r="806" spans="1:45">
      <c r="A806" s="294"/>
      <c r="B806" s="295"/>
      <c r="C806" s="296"/>
      <c r="D806" s="296"/>
      <c r="E806" s="296"/>
      <c r="F806" s="296"/>
      <c r="G806" s="297"/>
      <c r="H806" s="303"/>
      <c r="I806" s="298"/>
      <c r="J806" s="298"/>
      <c r="K806" s="299"/>
      <c r="L806" s="304"/>
      <c r="M806" s="300"/>
      <c r="N806" s="301"/>
      <c r="P806" s="193" t="str">
        <f>IF(R806 = "", "", COUNT(R$4:$R806))</f>
        <v/>
      </c>
      <c r="Q806" s="193" t="str">
        <f t="shared" si="121"/>
        <v/>
      </c>
      <c r="R806" s="194" t="str">
        <f t="shared" si="122"/>
        <v/>
      </c>
      <c r="S806" s="195" t="str">
        <f t="shared" si="124"/>
        <v/>
      </c>
      <c r="T806" s="196" t="str">
        <f t="shared" si="125"/>
        <v/>
      </c>
      <c r="U806" s="197" t="str">
        <f t="shared" si="126"/>
        <v/>
      </c>
      <c r="V806" s="198" t="str">
        <f t="shared" si="123"/>
        <v/>
      </c>
      <c r="W806" s="339" t="str">
        <f t="shared" si="127"/>
        <v/>
      </c>
      <c r="X806" s="341" t="str">
        <f t="shared" si="128"/>
        <v/>
      </c>
      <c r="Y806" s="277"/>
      <c r="AR806" t="str">
        <f t="shared" si="129"/>
        <v/>
      </c>
      <c r="AS806" t="str">
        <f t="shared" si="130"/>
        <v/>
      </c>
    </row>
    <row r="807" spans="1:45">
      <c r="A807" s="294"/>
      <c r="B807" s="295"/>
      <c r="C807" s="296"/>
      <c r="D807" s="296"/>
      <c r="E807" s="296"/>
      <c r="F807" s="296"/>
      <c r="G807" s="297"/>
      <c r="H807" s="303"/>
      <c r="I807" s="298"/>
      <c r="J807" s="298"/>
      <c r="K807" s="299"/>
      <c r="L807" s="304"/>
      <c r="M807" s="300"/>
      <c r="N807" s="301"/>
      <c r="P807" s="193" t="str">
        <f>IF(R807 = "", "", COUNT(R$4:$R807))</f>
        <v/>
      </c>
      <c r="Q807" s="193" t="str">
        <f t="shared" si="121"/>
        <v/>
      </c>
      <c r="R807" s="194" t="str">
        <f t="shared" si="122"/>
        <v/>
      </c>
      <c r="S807" s="195" t="str">
        <f t="shared" si="124"/>
        <v/>
      </c>
      <c r="T807" s="196" t="str">
        <f t="shared" si="125"/>
        <v/>
      </c>
      <c r="U807" s="197" t="str">
        <f t="shared" si="126"/>
        <v/>
      </c>
      <c r="V807" s="198" t="str">
        <f t="shared" si="123"/>
        <v/>
      </c>
      <c r="W807" s="339" t="str">
        <f t="shared" si="127"/>
        <v/>
      </c>
      <c r="X807" s="341" t="str">
        <f t="shared" si="128"/>
        <v/>
      </c>
      <c r="Y807" s="277"/>
      <c r="AR807" t="str">
        <f t="shared" si="129"/>
        <v/>
      </c>
      <c r="AS807" t="str">
        <f t="shared" si="130"/>
        <v/>
      </c>
    </row>
    <row r="808" spans="1:45">
      <c r="A808" s="294"/>
      <c r="B808" s="295"/>
      <c r="C808" s="296"/>
      <c r="D808" s="296"/>
      <c r="E808" s="296"/>
      <c r="F808" s="296"/>
      <c r="G808" s="297"/>
      <c r="H808" s="303"/>
      <c r="I808" s="298"/>
      <c r="J808" s="298"/>
      <c r="K808" s="299"/>
      <c r="L808" s="304"/>
      <c r="M808" s="300"/>
      <c r="N808" s="301"/>
      <c r="P808" s="193" t="str">
        <f>IF(R808 = "", "", COUNT(R$4:$R808))</f>
        <v/>
      </c>
      <c r="Q808" s="193" t="str">
        <f t="shared" si="121"/>
        <v/>
      </c>
      <c r="R808" s="194" t="str">
        <f t="shared" si="122"/>
        <v/>
      </c>
      <c r="S808" s="195" t="str">
        <f t="shared" si="124"/>
        <v/>
      </c>
      <c r="T808" s="196" t="str">
        <f t="shared" si="125"/>
        <v/>
      </c>
      <c r="U808" s="197" t="str">
        <f t="shared" si="126"/>
        <v/>
      </c>
      <c r="V808" s="198" t="str">
        <f t="shared" si="123"/>
        <v/>
      </c>
      <c r="W808" s="339" t="str">
        <f t="shared" si="127"/>
        <v/>
      </c>
      <c r="X808" s="341" t="str">
        <f t="shared" si="128"/>
        <v/>
      </c>
      <c r="Y808" s="277"/>
      <c r="AR808" t="str">
        <f t="shared" si="129"/>
        <v/>
      </c>
      <c r="AS808" t="str">
        <f t="shared" si="130"/>
        <v/>
      </c>
    </row>
    <row r="809" spans="1:45">
      <c r="A809" s="294"/>
      <c r="B809" s="295"/>
      <c r="C809" s="296"/>
      <c r="D809" s="296"/>
      <c r="E809" s="296"/>
      <c r="F809" s="296"/>
      <c r="G809" s="297"/>
      <c r="H809" s="303"/>
      <c r="I809" s="298"/>
      <c r="J809" s="298"/>
      <c r="K809" s="299"/>
      <c r="L809" s="304"/>
      <c r="M809" s="300"/>
      <c r="N809" s="301"/>
      <c r="P809" s="193" t="str">
        <f>IF(R809 = "", "", COUNT(R$4:$R809))</f>
        <v/>
      </c>
      <c r="Q809" s="193" t="str">
        <f t="shared" si="121"/>
        <v/>
      </c>
      <c r="R809" s="194" t="str">
        <f t="shared" si="122"/>
        <v/>
      </c>
      <c r="S809" s="195" t="str">
        <f t="shared" si="124"/>
        <v/>
      </c>
      <c r="T809" s="196" t="str">
        <f t="shared" si="125"/>
        <v/>
      </c>
      <c r="U809" s="197" t="str">
        <f t="shared" si="126"/>
        <v/>
      </c>
      <c r="V809" s="198" t="str">
        <f t="shared" si="123"/>
        <v/>
      </c>
      <c r="W809" s="339" t="str">
        <f t="shared" si="127"/>
        <v/>
      </c>
      <c r="X809" s="341" t="str">
        <f t="shared" si="128"/>
        <v/>
      </c>
      <c r="Y809" s="277"/>
      <c r="AR809" t="str">
        <f t="shared" si="129"/>
        <v/>
      </c>
      <c r="AS809" t="str">
        <f t="shared" si="130"/>
        <v/>
      </c>
    </row>
    <row r="810" spans="1:45">
      <c r="A810" s="294"/>
      <c r="B810" s="295"/>
      <c r="C810" s="296"/>
      <c r="D810" s="296"/>
      <c r="E810" s="296"/>
      <c r="F810" s="296"/>
      <c r="G810" s="297"/>
      <c r="H810" s="303"/>
      <c r="I810" s="298"/>
      <c r="J810" s="298"/>
      <c r="K810" s="299"/>
      <c r="L810" s="304"/>
      <c r="M810" s="300"/>
      <c r="N810" s="301"/>
      <c r="P810" s="193" t="str">
        <f>IF(R810 = "", "", COUNT(R$4:$R810))</f>
        <v/>
      </c>
      <c r="Q810" s="193" t="str">
        <f t="shared" si="121"/>
        <v/>
      </c>
      <c r="R810" s="194" t="str">
        <f t="shared" si="122"/>
        <v/>
      </c>
      <c r="S810" s="195" t="str">
        <f t="shared" si="124"/>
        <v/>
      </c>
      <c r="T810" s="196" t="str">
        <f t="shared" si="125"/>
        <v/>
      </c>
      <c r="U810" s="197" t="str">
        <f t="shared" si="126"/>
        <v/>
      </c>
      <c r="V810" s="198" t="str">
        <f t="shared" si="123"/>
        <v/>
      </c>
      <c r="W810" s="339" t="str">
        <f t="shared" si="127"/>
        <v/>
      </c>
      <c r="X810" s="341" t="str">
        <f t="shared" si="128"/>
        <v/>
      </c>
      <c r="Y810" s="277"/>
      <c r="AR810" t="str">
        <f t="shared" si="129"/>
        <v/>
      </c>
      <c r="AS810" t="str">
        <f t="shared" si="130"/>
        <v/>
      </c>
    </row>
    <row r="811" spans="1:45">
      <c r="A811" s="294"/>
      <c r="B811" s="295"/>
      <c r="C811" s="296"/>
      <c r="D811" s="296"/>
      <c r="E811" s="296"/>
      <c r="F811" s="296"/>
      <c r="G811" s="297"/>
      <c r="H811" s="303"/>
      <c r="I811" s="298"/>
      <c r="J811" s="298"/>
      <c r="K811" s="299"/>
      <c r="L811" s="304"/>
      <c r="M811" s="300"/>
      <c r="N811" s="301"/>
      <c r="P811" s="193" t="str">
        <f>IF(R811 = "", "", COUNT(R$4:$R811))</f>
        <v/>
      </c>
      <c r="Q811" s="193" t="str">
        <f t="shared" si="121"/>
        <v/>
      </c>
      <c r="R811" s="194" t="str">
        <f t="shared" si="122"/>
        <v/>
      </c>
      <c r="S811" s="195" t="str">
        <f t="shared" si="124"/>
        <v/>
      </c>
      <c r="T811" s="196" t="str">
        <f t="shared" si="125"/>
        <v/>
      </c>
      <c r="U811" s="197" t="str">
        <f t="shared" si="126"/>
        <v/>
      </c>
      <c r="V811" s="198" t="str">
        <f t="shared" si="123"/>
        <v/>
      </c>
      <c r="W811" s="339" t="str">
        <f t="shared" si="127"/>
        <v/>
      </c>
      <c r="X811" s="341" t="str">
        <f t="shared" si="128"/>
        <v/>
      </c>
      <c r="Y811" s="277"/>
      <c r="AR811" t="str">
        <f t="shared" si="129"/>
        <v/>
      </c>
      <c r="AS811" t="str">
        <f t="shared" si="130"/>
        <v/>
      </c>
    </row>
    <row r="812" spans="1:45">
      <c r="A812" s="294"/>
      <c r="B812" s="295"/>
      <c r="C812" s="296"/>
      <c r="D812" s="296"/>
      <c r="E812" s="296"/>
      <c r="F812" s="296"/>
      <c r="G812" s="297"/>
      <c r="H812" s="303"/>
      <c r="I812" s="298"/>
      <c r="J812" s="298"/>
      <c r="K812" s="299"/>
      <c r="L812" s="304"/>
      <c r="M812" s="300"/>
      <c r="N812" s="301"/>
      <c r="P812" s="193" t="str">
        <f>IF(R812 = "", "", COUNT(R$4:$R812))</f>
        <v/>
      </c>
      <c r="Q812" s="193" t="str">
        <f t="shared" si="121"/>
        <v/>
      </c>
      <c r="R812" s="194" t="str">
        <f t="shared" si="122"/>
        <v/>
      </c>
      <c r="S812" s="195" t="str">
        <f t="shared" si="124"/>
        <v/>
      </c>
      <c r="T812" s="196" t="str">
        <f t="shared" si="125"/>
        <v/>
      </c>
      <c r="U812" s="197" t="str">
        <f t="shared" si="126"/>
        <v/>
      </c>
      <c r="V812" s="198" t="str">
        <f t="shared" si="123"/>
        <v/>
      </c>
      <c r="W812" s="339" t="str">
        <f t="shared" si="127"/>
        <v/>
      </c>
      <c r="X812" s="341" t="str">
        <f t="shared" si="128"/>
        <v/>
      </c>
      <c r="Y812" s="277"/>
      <c r="AR812" t="str">
        <f t="shared" si="129"/>
        <v/>
      </c>
      <c r="AS812" t="str">
        <f t="shared" si="130"/>
        <v/>
      </c>
    </row>
    <row r="813" spans="1:45">
      <c r="A813" s="294"/>
      <c r="B813" s="295"/>
      <c r="C813" s="296"/>
      <c r="D813" s="296"/>
      <c r="E813" s="296"/>
      <c r="F813" s="296"/>
      <c r="G813" s="297"/>
      <c r="H813" s="303"/>
      <c r="I813" s="298"/>
      <c r="J813" s="298"/>
      <c r="K813" s="299"/>
      <c r="L813" s="304"/>
      <c r="M813" s="300"/>
      <c r="N813" s="301"/>
      <c r="P813" s="193" t="str">
        <f>IF(R813 = "", "", COUNT(R$4:$R813))</f>
        <v/>
      </c>
      <c r="Q813" s="193" t="str">
        <f t="shared" si="121"/>
        <v/>
      </c>
      <c r="R813" s="194" t="str">
        <f t="shared" si="122"/>
        <v/>
      </c>
      <c r="S813" s="195" t="str">
        <f t="shared" si="124"/>
        <v/>
      </c>
      <c r="T813" s="196" t="str">
        <f t="shared" si="125"/>
        <v/>
      </c>
      <c r="U813" s="197" t="str">
        <f t="shared" si="126"/>
        <v/>
      </c>
      <c r="V813" s="198" t="str">
        <f t="shared" si="123"/>
        <v/>
      </c>
      <c r="W813" s="339" t="str">
        <f t="shared" si="127"/>
        <v/>
      </c>
      <c r="X813" s="341" t="str">
        <f t="shared" si="128"/>
        <v/>
      </c>
      <c r="Y813" s="277"/>
      <c r="AR813" t="str">
        <f t="shared" si="129"/>
        <v/>
      </c>
      <c r="AS813" t="str">
        <f t="shared" si="130"/>
        <v/>
      </c>
    </row>
    <row r="814" spans="1:45">
      <c r="A814" s="294"/>
      <c r="B814" s="295"/>
      <c r="C814" s="296"/>
      <c r="D814" s="296"/>
      <c r="E814" s="296"/>
      <c r="F814" s="296"/>
      <c r="G814" s="297"/>
      <c r="H814" s="303"/>
      <c r="I814" s="298"/>
      <c r="J814" s="298"/>
      <c r="K814" s="299"/>
      <c r="L814" s="304"/>
      <c r="M814" s="300"/>
      <c r="N814" s="301"/>
      <c r="P814" s="193" t="str">
        <f>IF(R814 = "", "", COUNT(R$4:$R814))</f>
        <v/>
      </c>
      <c r="Q814" s="193" t="str">
        <f t="shared" si="121"/>
        <v/>
      </c>
      <c r="R814" s="194" t="str">
        <f t="shared" si="122"/>
        <v/>
      </c>
      <c r="S814" s="195" t="str">
        <f t="shared" si="124"/>
        <v/>
      </c>
      <c r="T814" s="196" t="str">
        <f t="shared" si="125"/>
        <v/>
      </c>
      <c r="U814" s="197" t="str">
        <f t="shared" si="126"/>
        <v/>
      </c>
      <c r="V814" s="198" t="str">
        <f t="shared" si="123"/>
        <v/>
      </c>
      <c r="W814" s="339" t="str">
        <f t="shared" si="127"/>
        <v/>
      </c>
      <c r="X814" s="341" t="str">
        <f t="shared" si="128"/>
        <v/>
      </c>
      <c r="Y814" s="277"/>
      <c r="AR814" t="str">
        <f t="shared" si="129"/>
        <v/>
      </c>
      <c r="AS814" t="str">
        <f t="shared" si="130"/>
        <v/>
      </c>
    </row>
    <row r="815" spans="1:45">
      <c r="A815" s="294"/>
      <c r="B815" s="295"/>
      <c r="C815" s="296"/>
      <c r="D815" s="296"/>
      <c r="E815" s="296"/>
      <c r="F815" s="296"/>
      <c r="G815" s="297"/>
      <c r="H815" s="303"/>
      <c r="I815" s="298"/>
      <c r="J815" s="298"/>
      <c r="K815" s="299"/>
      <c r="L815" s="304"/>
      <c r="M815" s="300"/>
      <c r="N815" s="301"/>
      <c r="P815" s="193" t="str">
        <f>IF(R815 = "", "", COUNT(R$4:$R815))</f>
        <v/>
      </c>
      <c r="Q815" s="193" t="str">
        <f t="shared" si="121"/>
        <v/>
      </c>
      <c r="R815" s="194" t="str">
        <f t="shared" si="122"/>
        <v/>
      </c>
      <c r="S815" s="195" t="str">
        <f t="shared" si="124"/>
        <v/>
      </c>
      <c r="T815" s="196" t="str">
        <f t="shared" si="125"/>
        <v/>
      </c>
      <c r="U815" s="197" t="str">
        <f t="shared" si="126"/>
        <v/>
      </c>
      <c r="V815" s="198" t="str">
        <f t="shared" si="123"/>
        <v/>
      </c>
      <c r="W815" s="339" t="str">
        <f t="shared" si="127"/>
        <v/>
      </c>
      <c r="X815" s="341" t="str">
        <f t="shared" si="128"/>
        <v/>
      </c>
      <c r="Y815" s="277"/>
      <c r="AR815" t="str">
        <f t="shared" si="129"/>
        <v/>
      </c>
      <c r="AS815" t="str">
        <f t="shared" si="130"/>
        <v/>
      </c>
    </row>
    <row r="816" spans="1:45">
      <c r="A816" s="294"/>
      <c r="B816" s="295"/>
      <c r="C816" s="296"/>
      <c r="D816" s="296"/>
      <c r="E816" s="296"/>
      <c r="F816" s="296"/>
      <c r="G816" s="297"/>
      <c r="H816" s="303"/>
      <c r="I816" s="298"/>
      <c r="J816" s="298"/>
      <c r="K816" s="299"/>
      <c r="L816" s="304"/>
      <c r="M816" s="300"/>
      <c r="N816" s="301"/>
      <c r="P816" s="193" t="str">
        <f>IF(R816 = "", "", COUNT(R$4:$R816))</f>
        <v/>
      </c>
      <c r="Q816" s="193" t="str">
        <f t="shared" si="121"/>
        <v/>
      </c>
      <c r="R816" s="194" t="str">
        <f t="shared" si="122"/>
        <v/>
      </c>
      <c r="S816" s="195" t="str">
        <f t="shared" si="124"/>
        <v/>
      </c>
      <c r="T816" s="196" t="str">
        <f t="shared" si="125"/>
        <v/>
      </c>
      <c r="U816" s="197" t="str">
        <f t="shared" si="126"/>
        <v/>
      </c>
      <c r="V816" s="198" t="str">
        <f t="shared" si="123"/>
        <v/>
      </c>
      <c r="W816" s="339" t="str">
        <f t="shared" si="127"/>
        <v/>
      </c>
      <c r="X816" s="341" t="str">
        <f t="shared" si="128"/>
        <v/>
      </c>
      <c r="Y816" s="277"/>
      <c r="AR816" t="str">
        <f t="shared" si="129"/>
        <v/>
      </c>
      <c r="AS816" t="str">
        <f t="shared" si="130"/>
        <v/>
      </c>
    </row>
    <row r="817" spans="1:45">
      <c r="A817" s="294"/>
      <c r="B817" s="295"/>
      <c r="C817" s="296"/>
      <c r="D817" s="296"/>
      <c r="E817" s="296"/>
      <c r="F817" s="296"/>
      <c r="G817" s="297"/>
      <c r="H817" s="303"/>
      <c r="I817" s="298"/>
      <c r="J817" s="298"/>
      <c r="K817" s="299"/>
      <c r="L817" s="304"/>
      <c r="M817" s="300"/>
      <c r="N817" s="301"/>
      <c r="P817" s="193" t="str">
        <f>IF(R817 = "", "", COUNT(R$4:$R817))</f>
        <v/>
      </c>
      <c r="Q817" s="193" t="str">
        <f t="shared" si="121"/>
        <v/>
      </c>
      <c r="R817" s="194" t="str">
        <f t="shared" si="122"/>
        <v/>
      </c>
      <c r="S817" s="195" t="str">
        <f t="shared" si="124"/>
        <v/>
      </c>
      <c r="T817" s="196" t="str">
        <f t="shared" si="125"/>
        <v/>
      </c>
      <c r="U817" s="197" t="str">
        <f t="shared" si="126"/>
        <v/>
      </c>
      <c r="V817" s="198" t="str">
        <f t="shared" si="123"/>
        <v/>
      </c>
      <c r="W817" s="339" t="str">
        <f t="shared" si="127"/>
        <v/>
      </c>
      <c r="X817" s="341" t="str">
        <f t="shared" si="128"/>
        <v/>
      </c>
      <c r="Y817" s="277"/>
      <c r="AR817" t="str">
        <f t="shared" si="129"/>
        <v/>
      </c>
      <c r="AS817" t="str">
        <f t="shared" si="130"/>
        <v/>
      </c>
    </row>
    <row r="818" spans="1:45">
      <c r="A818" s="294"/>
      <c r="B818" s="295"/>
      <c r="C818" s="296"/>
      <c r="D818" s="296"/>
      <c r="E818" s="296"/>
      <c r="F818" s="296"/>
      <c r="G818" s="297"/>
      <c r="H818" s="303"/>
      <c r="I818" s="298"/>
      <c r="J818" s="298"/>
      <c r="K818" s="299"/>
      <c r="L818" s="304"/>
      <c r="M818" s="300"/>
      <c r="N818" s="301"/>
      <c r="P818" s="193" t="str">
        <f>IF(R818 = "", "", COUNT(R$4:$R818))</f>
        <v/>
      </c>
      <c r="Q818" s="193" t="str">
        <f t="shared" si="121"/>
        <v/>
      </c>
      <c r="R818" s="194" t="str">
        <f t="shared" si="122"/>
        <v/>
      </c>
      <c r="S818" s="195" t="str">
        <f t="shared" si="124"/>
        <v/>
      </c>
      <c r="T818" s="196" t="str">
        <f t="shared" si="125"/>
        <v/>
      </c>
      <c r="U818" s="197" t="str">
        <f t="shared" si="126"/>
        <v/>
      </c>
      <c r="V818" s="198" t="str">
        <f t="shared" si="123"/>
        <v/>
      </c>
      <c r="W818" s="339" t="str">
        <f t="shared" si="127"/>
        <v/>
      </c>
      <c r="X818" s="341" t="str">
        <f t="shared" si="128"/>
        <v/>
      </c>
      <c r="Y818" s="277"/>
      <c r="AR818" t="str">
        <f t="shared" si="129"/>
        <v/>
      </c>
      <c r="AS818" t="str">
        <f t="shared" si="130"/>
        <v/>
      </c>
    </row>
    <row r="819" spans="1:45">
      <c r="A819" s="294"/>
      <c r="B819" s="295"/>
      <c r="C819" s="296"/>
      <c r="D819" s="296"/>
      <c r="E819" s="296"/>
      <c r="F819" s="296"/>
      <c r="G819" s="297"/>
      <c r="H819" s="303"/>
      <c r="I819" s="298"/>
      <c r="J819" s="298"/>
      <c r="K819" s="299"/>
      <c r="L819" s="304"/>
      <c r="M819" s="300"/>
      <c r="N819" s="301"/>
      <c r="P819" s="193" t="str">
        <f>IF(R819 = "", "", COUNT(R$4:$R819))</f>
        <v/>
      </c>
      <c r="Q819" s="193" t="str">
        <f t="shared" si="121"/>
        <v/>
      </c>
      <c r="R819" s="194" t="str">
        <f t="shared" si="122"/>
        <v/>
      </c>
      <c r="S819" s="195" t="str">
        <f t="shared" si="124"/>
        <v/>
      </c>
      <c r="T819" s="196" t="str">
        <f t="shared" si="125"/>
        <v/>
      </c>
      <c r="U819" s="197" t="str">
        <f t="shared" si="126"/>
        <v/>
      </c>
      <c r="V819" s="198" t="str">
        <f t="shared" si="123"/>
        <v/>
      </c>
      <c r="W819" s="339" t="str">
        <f t="shared" si="127"/>
        <v/>
      </c>
      <c r="X819" s="341" t="str">
        <f t="shared" si="128"/>
        <v/>
      </c>
      <c r="Y819" s="277"/>
      <c r="AR819" t="str">
        <f t="shared" si="129"/>
        <v/>
      </c>
      <c r="AS819" t="str">
        <f t="shared" si="130"/>
        <v/>
      </c>
    </row>
    <row r="820" spans="1:45">
      <c r="A820" s="294"/>
      <c r="B820" s="295"/>
      <c r="C820" s="296"/>
      <c r="D820" s="296"/>
      <c r="E820" s="296"/>
      <c r="F820" s="296"/>
      <c r="G820" s="297"/>
      <c r="H820" s="303"/>
      <c r="I820" s="298"/>
      <c r="J820" s="298"/>
      <c r="K820" s="299"/>
      <c r="L820" s="304"/>
      <c r="M820" s="300"/>
      <c r="N820" s="301"/>
      <c r="P820" s="193" t="str">
        <f>IF(R820 = "", "", COUNT(R$4:$R820))</f>
        <v/>
      </c>
      <c r="Q820" s="193" t="str">
        <f t="shared" si="121"/>
        <v/>
      </c>
      <c r="R820" s="194" t="str">
        <f t="shared" si="122"/>
        <v/>
      </c>
      <c r="S820" s="195" t="str">
        <f t="shared" si="124"/>
        <v/>
      </c>
      <c r="T820" s="196" t="str">
        <f t="shared" si="125"/>
        <v/>
      </c>
      <c r="U820" s="197" t="str">
        <f t="shared" si="126"/>
        <v/>
      </c>
      <c r="V820" s="198" t="str">
        <f t="shared" si="123"/>
        <v/>
      </c>
      <c r="W820" s="339" t="str">
        <f t="shared" si="127"/>
        <v/>
      </c>
      <c r="X820" s="341" t="str">
        <f t="shared" si="128"/>
        <v/>
      </c>
      <c r="Y820" s="277"/>
      <c r="AR820" t="str">
        <f t="shared" si="129"/>
        <v/>
      </c>
      <c r="AS820" t="str">
        <f t="shared" si="130"/>
        <v/>
      </c>
    </row>
    <row r="821" spans="1:45">
      <c r="A821" s="294"/>
      <c r="B821" s="295"/>
      <c r="C821" s="296"/>
      <c r="D821" s="296"/>
      <c r="E821" s="296"/>
      <c r="F821" s="296"/>
      <c r="G821" s="297"/>
      <c r="H821" s="303"/>
      <c r="I821" s="298"/>
      <c r="J821" s="298"/>
      <c r="K821" s="299"/>
      <c r="L821" s="304"/>
      <c r="M821" s="300"/>
      <c r="N821" s="301"/>
      <c r="P821" s="193" t="str">
        <f>IF(R821 = "", "", COUNT(R$4:$R821))</f>
        <v/>
      </c>
      <c r="Q821" s="193" t="str">
        <f t="shared" si="121"/>
        <v/>
      </c>
      <c r="R821" s="194" t="str">
        <f t="shared" si="122"/>
        <v/>
      </c>
      <c r="S821" s="195" t="str">
        <f t="shared" si="124"/>
        <v/>
      </c>
      <c r="T821" s="196" t="str">
        <f t="shared" si="125"/>
        <v/>
      </c>
      <c r="U821" s="197" t="str">
        <f t="shared" si="126"/>
        <v/>
      </c>
      <c r="V821" s="198" t="str">
        <f t="shared" si="123"/>
        <v/>
      </c>
      <c r="W821" s="339" t="str">
        <f t="shared" si="127"/>
        <v/>
      </c>
      <c r="X821" s="341" t="str">
        <f t="shared" si="128"/>
        <v/>
      </c>
      <c r="Y821" s="277"/>
      <c r="AR821" t="str">
        <f t="shared" si="129"/>
        <v/>
      </c>
      <c r="AS821" t="str">
        <f t="shared" si="130"/>
        <v/>
      </c>
    </row>
    <row r="822" spans="1:45">
      <c r="A822" s="294"/>
      <c r="B822" s="295"/>
      <c r="C822" s="296"/>
      <c r="D822" s="296"/>
      <c r="E822" s="296"/>
      <c r="F822" s="296"/>
      <c r="G822" s="297"/>
      <c r="H822" s="303"/>
      <c r="I822" s="298"/>
      <c r="J822" s="298"/>
      <c r="K822" s="299"/>
      <c r="L822" s="304"/>
      <c r="M822" s="300"/>
      <c r="N822" s="301"/>
      <c r="P822" s="193" t="str">
        <f>IF(R822 = "", "", COUNT(R$4:$R822))</f>
        <v/>
      </c>
      <c r="Q822" s="193" t="str">
        <f t="shared" si="121"/>
        <v/>
      </c>
      <c r="R822" s="194" t="str">
        <f t="shared" si="122"/>
        <v/>
      </c>
      <c r="S822" s="195" t="str">
        <f t="shared" si="124"/>
        <v/>
      </c>
      <c r="T822" s="196" t="str">
        <f t="shared" si="125"/>
        <v/>
      </c>
      <c r="U822" s="197" t="str">
        <f t="shared" si="126"/>
        <v/>
      </c>
      <c r="V822" s="198" t="str">
        <f t="shared" si="123"/>
        <v/>
      </c>
      <c r="W822" s="339" t="str">
        <f t="shared" si="127"/>
        <v/>
      </c>
      <c r="X822" s="341" t="str">
        <f t="shared" si="128"/>
        <v/>
      </c>
      <c r="Y822" s="277"/>
      <c r="AR822" t="str">
        <f t="shared" si="129"/>
        <v/>
      </c>
      <c r="AS822" t="str">
        <f t="shared" si="130"/>
        <v/>
      </c>
    </row>
    <row r="823" spans="1:45">
      <c r="A823" s="294"/>
      <c r="B823" s="295"/>
      <c r="C823" s="296"/>
      <c r="D823" s="296"/>
      <c r="E823" s="296"/>
      <c r="F823" s="296"/>
      <c r="G823" s="297"/>
      <c r="H823" s="303"/>
      <c r="I823" s="298"/>
      <c r="J823" s="298"/>
      <c r="K823" s="299"/>
      <c r="L823" s="304"/>
      <c r="M823" s="300"/>
      <c r="N823" s="301"/>
      <c r="P823" s="193" t="str">
        <f>IF(R823 = "", "", COUNT(R$4:$R823))</f>
        <v/>
      </c>
      <c r="Q823" s="193" t="str">
        <f t="shared" si="121"/>
        <v/>
      </c>
      <c r="R823" s="194" t="str">
        <f t="shared" si="122"/>
        <v/>
      </c>
      <c r="S823" s="195" t="str">
        <f t="shared" si="124"/>
        <v/>
      </c>
      <c r="T823" s="196" t="str">
        <f t="shared" si="125"/>
        <v/>
      </c>
      <c r="U823" s="197" t="str">
        <f t="shared" si="126"/>
        <v/>
      </c>
      <c r="V823" s="198" t="str">
        <f t="shared" si="123"/>
        <v/>
      </c>
      <c r="W823" s="339" t="str">
        <f t="shared" si="127"/>
        <v/>
      </c>
      <c r="X823" s="341" t="str">
        <f t="shared" si="128"/>
        <v/>
      </c>
      <c r="Y823" s="277"/>
      <c r="AR823" t="str">
        <f t="shared" si="129"/>
        <v/>
      </c>
      <c r="AS823" t="str">
        <f t="shared" si="130"/>
        <v/>
      </c>
    </row>
    <row r="824" spans="1:45">
      <c r="A824" s="294"/>
      <c r="B824" s="295"/>
      <c r="C824" s="296"/>
      <c r="D824" s="296"/>
      <c r="E824" s="296"/>
      <c r="F824" s="296"/>
      <c r="G824" s="297"/>
      <c r="H824" s="303"/>
      <c r="I824" s="298"/>
      <c r="J824" s="298"/>
      <c r="K824" s="299"/>
      <c r="L824" s="304"/>
      <c r="M824" s="300"/>
      <c r="N824" s="301"/>
      <c r="P824" s="193" t="str">
        <f>IF(R824 = "", "", COUNT(R$4:$R824))</f>
        <v/>
      </c>
      <c r="Q824" s="193" t="str">
        <f t="shared" si="121"/>
        <v/>
      </c>
      <c r="R824" s="194" t="str">
        <f t="shared" si="122"/>
        <v/>
      </c>
      <c r="S824" s="195" t="str">
        <f t="shared" si="124"/>
        <v/>
      </c>
      <c r="T824" s="196" t="str">
        <f t="shared" si="125"/>
        <v/>
      </c>
      <c r="U824" s="197" t="str">
        <f t="shared" si="126"/>
        <v/>
      </c>
      <c r="V824" s="198" t="str">
        <f t="shared" si="123"/>
        <v/>
      </c>
      <c r="W824" s="339" t="str">
        <f t="shared" si="127"/>
        <v/>
      </c>
      <c r="X824" s="341" t="str">
        <f t="shared" si="128"/>
        <v/>
      </c>
      <c r="Y824" s="277"/>
      <c r="AR824" t="str">
        <f t="shared" si="129"/>
        <v/>
      </c>
      <c r="AS824" t="str">
        <f t="shared" si="130"/>
        <v/>
      </c>
    </row>
    <row r="825" spans="1:45">
      <c r="A825" s="294"/>
      <c r="B825" s="295"/>
      <c r="C825" s="296"/>
      <c r="D825" s="296"/>
      <c r="E825" s="296"/>
      <c r="F825" s="296"/>
      <c r="G825" s="297"/>
      <c r="H825" s="303"/>
      <c r="I825" s="298"/>
      <c r="J825" s="298"/>
      <c r="K825" s="299"/>
      <c r="L825" s="304"/>
      <c r="M825" s="300"/>
      <c r="N825" s="301"/>
      <c r="P825" s="193" t="str">
        <f>IF(R825 = "", "", COUNT(R$4:$R825))</f>
        <v/>
      </c>
      <c r="Q825" s="193" t="str">
        <f t="shared" si="121"/>
        <v/>
      </c>
      <c r="R825" s="194" t="str">
        <f t="shared" si="122"/>
        <v/>
      </c>
      <c r="S825" s="195" t="str">
        <f t="shared" si="124"/>
        <v/>
      </c>
      <c r="T825" s="196" t="str">
        <f t="shared" si="125"/>
        <v/>
      </c>
      <c r="U825" s="197" t="str">
        <f t="shared" si="126"/>
        <v/>
      </c>
      <c r="V825" s="198" t="str">
        <f t="shared" si="123"/>
        <v/>
      </c>
      <c r="W825" s="339" t="str">
        <f t="shared" si="127"/>
        <v/>
      </c>
      <c r="X825" s="341" t="str">
        <f t="shared" si="128"/>
        <v/>
      </c>
      <c r="Y825" s="277"/>
      <c r="AR825" t="str">
        <f t="shared" si="129"/>
        <v/>
      </c>
      <c r="AS825" t="str">
        <f t="shared" si="130"/>
        <v/>
      </c>
    </row>
    <row r="826" spans="1:45">
      <c r="A826" s="294"/>
      <c r="B826" s="295"/>
      <c r="C826" s="296"/>
      <c r="D826" s="296"/>
      <c r="E826" s="296"/>
      <c r="F826" s="296"/>
      <c r="G826" s="297"/>
      <c r="H826" s="303"/>
      <c r="I826" s="298"/>
      <c r="J826" s="298"/>
      <c r="K826" s="299"/>
      <c r="L826" s="304"/>
      <c r="M826" s="300"/>
      <c r="N826" s="301"/>
      <c r="P826" s="193" t="str">
        <f>IF(R826 = "", "", COUNT(R$4:$R826))</f>
        <v/>
      </c>
      <c r="Q826" s="193" t="str">
        <f t="shared" si="121"/>
        <v/>
      </c>
      <c r="R826" s="194" t="str">
        <f t="shared" si="122"/>
        <v/>
      </c>
      <c r="S826" s="195" t="str">
        <f t="shared" si="124"/>
        <v/>
      </c>
      <c r="T826" s="196" t="str">
        <f t="shared" si="125"/>
        <v/>
      </c>
      <c r="U826" s="197" t="str">
        <f t="shared" si="126"/>
        <v/>
      </c>
      <c r="V826" s="198" t="str">
        <f t="shared" si="123"/>
        <v/>
      </c>
      <c r="W826" s="339" t="str">
        <f t="shared" si="127"/>
        <v/>
      </c>
      <c r="X826" s="341" t="str">
        <f t="shared" si="128"/>
        <v/>
      </c>
      <c r="Y826" s="277"/>
      <c r="AR826" t="str">
        <f t="shared" si="129"/>
        <v/>
      </c>
      <c r="AS826" t="str">
        <f t="shared" si="130"/>
        <v/>
      </c>
    </row>
    <row r="827" spans="1:45">
      <c r="A827" s="294"/>
      <c r="B827" s="295"/>
      <c r="C827" s="296"/>
      <c r="D827" s="296"/>
      <c r="E827" s="296"/>
      <c r="F827" s="296"/>
      <c r="G827" s="297"/>
      <c r="H827" s="303"/>
      <c r="I827" s="298"/>
      <c r="J827" s="298"/>
      <c r="K827" s="299"/>
      <c r="L827" s="304"/>
      <c r="M827" s="300"/>
      <c r="N827" s="301"/>
      <c r="P827" s="193" t="str">
        <f>IF(R827 = "", "", COUNT(R$4:$R827))</f>
        <v/>
      </c>
      <c r="Q827" s="193" t="str">
        <f t="shared" si="121"/>
        <v/>
      </c>
      <c r="R827" s="194" t="str">
        <f t="shared" si="122"/>
        <v/>
      </c>
      <c r="S827" s="195" t="str">
        <f t="shared" si="124"/>
        <v/>
      </c>
      <c r="T827" s="196" t="str">
        <f t="shared" si="125"/>
        <v/>
      </c>
      <c r="U827" s="197" t="str">
        <f t="shared" si="126"/>
        <v/>
      </c>
      <c r="V827" s="198" t="str">
        <f t="shared" si="123"/>
        <v/>
      </c>
      <c r="W827" s="339" t="str">
        <f t="shared" si="127"/>
        <v/>
      </c>
      <c r="X827" s="341" t="str">
        <f t="shared" si="128"/>
        <v/>
      </c>
      <c r="Y827" s="277"/>
      <c r="AR827" t="str">
        <f t="shared" si="129"/>
        <v/>
      </c>
      <c r="AS827" t="str">
        <f t="shared" si="130"/>
        <v/>
      </c>
    </row>
    <row r="828" spans="1:45">
      <c r="A828" s="294"/>
      <c r="B828" s="295"/>
      <c r="C828" s="296"/>
      <c r="D828" s="296"/>
      <c r="E828" s="296"/>
      <c r="F828" s="296"/>
      <c r="G828" s="297"/>
      <c r="H828" s="303"/>
      <c r="I828" s="298"/>
      <c r="J828" s="298"/>
      <c r="K828" s="299"/>
      <c r="L828" s="304"/>
      <c r="M828" s="300"/>
      <c r="N828" s="301"/>
      <c r="P828" s="193" t="str">
        <f>IF(R828 = "", "", COUNT(R$4:$R828))</f>
        <v/>
      </c>
      <c r="Q828" s="193" t="str">
        <f t="shared" si="121"/>
        <v/>
      </c>
      <c r="R828" s="194" t="str">
        <f t="shared" si="122"/>
        <v/>
      </c>
      <c r="S828" s="195" t="str">
        <f t="shared" si="124"/>
        <v/>
      </c>
      <c r="T828" s="196" t="str">
        <f t="shared" si="125"/>
        <v/>
      </c>
      <c r="U828" s="197" t="str">
        <f t="shared" si="126"/>
        <v/>
      </c>
      <c r="V828" s="198" t="str">
        <f t="shared" si="123"/>
        <v/>
      </c>
      <c r="W828" s="339" t="str">
        <f t="shared" si="127"/>
        <v/>
      </c>
      <c r="X828" s="341" t="str">
        <f t="shared" si="128"/>
        <v/>
      </c>
      <c r="Y828" s="277"/>
      <c r="AR828" t="str">
        <f t="shared" si="129"/>
        <v/>
      </c>
      <c r="AS828" t="str">
        <f t="shared" si="130"/>
        <v/>
      </c>
    </row>
    <row r="829" spans="1:45">
      <c r="A829" s="294"/>
      <c r="B829" s="295"/>
      <c r="C829" s="296"/>
      <c r="D829" s="296"/>
      <c r="E829" s="296"/>
      <c r="F829" s="296"/>
      <c r="G829" s="297"/>
      <c r="H829" s="303"/>
      <c r="I829" s="298"/>
      <c r="J829" s="298"/>
      <c r="K829" s="299"/>
      <c r="L829" s="304"/>
      <c r="M829" s="300"/>
      <c r="N829" s="301"/>
      <c r="P829" s="193" t="str">
        <f>IF(R829 = "", "", COUNT(R$4:$R829))</f>
        <v/>
      </c>
      <c r="Q829" s="193" t="str">
        <f t="shared" si="121"/>
        <v/>
      </c>
      <c r="R829" s="194" t="str">
        <f t="shared" si="122"/>
        <v/>
      </c>
      <c r="S829" s="195" t="str">
        <f t="shared" si="124"/>
        <v/>
      </c>
      <c r="T829" s="196" t="str">
        <f t="shared" si="125"/>
        <v/>
      </c>
      <c r="U829" s="197" t="str">
        <f t="shared" si="126"/>
        <v/>
      </c>
      <c r="V829" s="198" t="str">
        <f t="shared" si="123"/>
        <v/>
      </c>
      <c r="W829" s="339" t="str">
        <f t="shared" si="127"/>
        <v/>
      </c>
      <c r="X829" s="341" t="str">
        <f t="shared" si="128"/>
        <v/>
      </c>
      <c r="Y829" s="277"/>
      <c r="AR829" t="str">
        <f t="shared" si="129"/>
        <v/>
      </c>
      <c r="AS829" t="str">
        <f t="shared" si="130"/>
        <v/>
      </c>
    </row>
    <row r="830" spans="1:45">
      <c r="A830" s="294"/>
      <c r="B830" s="295"/>
      <c r="C830" s="296"/>
      <c r="D830" s="296"/>
      <c r="E830" s="296"/>
      <c r="F830" s="296"/>
      <c r="G830" s="297"/>
      <c r="H830" s="303"/>
      <c r="I830" s="298"/>
      <c r="J830" s="298"/>
      <c r="K830" s="299"/>
      <c r="L830" s="304"/>
      <c r="M830" s="300"/>
      <c r="N830" s="301"/>
      <c r="P830" s="193" t="str">
        <f>IF(R830 = "", "", COUNT(R$4:$R830))</f>
        <v/>
      </c>
      <c r="Q830" s="193" t="str">
        <f t="shared" si="121"/>
        <v/>
      </c>
      <c r="R830" s="194" t="str">
        <f t="shared" si="122"/>
        <v/>
      </c>
      <c r="S830" s="195" t="str">
        <f t="shared" si="124"/>
        <v/>
      </c>
      <c r="T830" s="196" t="str">
        <f t="shared" si="125"/>
        <v/>
      </c>
      <c r="U830" s="197" t="str">
        <f t="shared" si="126"/>
        <v/>
      </c>
      <c r="V830" s="198" t="str">
        <f t="shared" si="123"/>
        <v/>
      </c>
      <c r="W830" s="339" t="str">
        <f t="shared" si="127"/>
        <v/>
      </c>
      <c r="X830" s="341" t="str">
        <f t="shared" si="128"/>
        <v/>
      </c>
      <c r="Y830" s="277"/>
      <c r="AR830" t="str">
        <f t="shared" si="129"/>
        <v/>
      </c>
      <c r="AS830" t="str">
        <f t="shared" si="130"/>
        <v/>
      </c>
    </row>
    <row r="831" spans="1:45">
      <c r="A831" s="294"/>
      <c r="B831" s="295"/>
      <c r="C831" s="296"/>
      <c r="D831" s="296"/>
      <c r="E831" s="296"/>
      <c r="F831" s="296"/>
      <c r="G831" s="297"/>
      <c r="H831" s="303"/>
      <c r="I831" s="298"/>
      <c r="J831" s="298"/>
      <c r="K831" s="299"/>
      <c r="L831" s="304"/>
      <c r="M831" s="300"/>
      <c r="N831" s="301"/>
      <c r="P831" s="193" t="str">
        <f>IF(R831 = "", "", COUNT(R$4:$R831))</f>
        <v/>
      </c>
      <c r="Q831" s="193" t="str">
        <f t="shared" si="121"/>
        <v/>
      </c>
      <c r="R831" s="194" t="str">
        <f t="shared" si="122"/>
        <v/>
      </c>
      <c r="S831" s="195" t="str">
        <f t="shared" si="124"/>
        <v/>
      </c>
      <c r="T831" s="196" t="str">
        <f t="shared" si="125"/>
        <v/>
      </c>
      <c r="U831" s="197" t="str">
        <f t="shared" si="126"/>
        <v/>
      </c>
      <c r="V831" s="198" t="str">
        <f t="shared" si="123"/>
        <v/>
      </c>
      <c r="W831" s="339" t="str">
        <f t="shared" si="127"/>
        <v/>
      </c>
      <c r="X831" s="341" t="str">
        <f t="shared" si="128"/>
        <v/>
      </c>
      <c r="Y831" s="277"/>
      <c r="AR831" t="str">
        <f t="shared" si="129"/>
        <v/>
      </c>
      <c r="AS831" t="str">
        <f t="shared" si="130"/>
        <v/>
      </c>
    </row>
    <row r="832" spans="1:45">
      <c r="A832" s="294"/>
      <c r="B832" s="295"/>
      <c r="C832" s="296"/>
      <c r="D832" s="296"/>
      <c r="E832" s="296"/>
      <c r="F832" s="296"/>
      <c r="G832" s="297"/>
      <c r="H832" s="303"/>
      <c r="I832" s="298"/>
      <c r="J832" s="298"/>
      <c r="K832" s="299"/>
      <c r="L832" s="304"/>
      <c r="M832" s="300"/>
      <c r="N832" s="301"/>
      <c r="P832" s="193" t="str">
        <f>IF(R832 = "", "", COUNT(R$4:$R832))</f>
        <v/>
      </c>
      <c r="Q832" s="193" t="str">
        <f t="shared" si="121"/>
        <v/>
      </c>
      <c r="R832" s="194" t="str">
        <f t="shared" si="122"/>
        <v/>
      </c>
      <c r="S832" s="195" t="str">
        <f t="shared" si="124"/>
        <v/>
      </c>
      <c r="T832" s="196" t="str">
        <f t="shared" si="125"/>
        <v/>
      </c>
      <c r="U832" s="197" t="str">
        <f t="shared" si="126"/>
        <v/>
      </c>
      <c r="V832" s="198" t="str">
        <f t="shared" si="123"/>
        <v/>
      </c>
      <c r="W832" s="339" t="str">
        <f t="shared" si="127"/>
        <v/>
      </c>
      <c r="X832" s="341" t="str">
        <f t="shared" si="128"/>
        <v/>
      </c>
      <c r="Y832" s="277"/>
      <c r="AR832" t="str">
        <f t="shared" si="129"/>
        <v/>
      </c>
      <c r="AS832" t="str">
        <f t="shared" si="130"/>
        <v/>
      </c>
    </row>
    <row r="833" spans="1:45">
      <c r="A833" s="294"/>
      <c r="B833" s="295"/>
      <c r="C833" s="296"/>
      <c r="D833" s="296"/>
      <c r="E833" s="296"/>
      <c r="F833" s="296"/>
      <c r="G833" s="297"/>
      <c r="H833" s="303"/>
      <c r="I833" s="298"/>
      <c r="J833" s="298"/>
      <c r="K833" s="299"/>
      <c r="L833" s="304"/>
      <c r="M833" s="300"/>
      <c r="N833" s="301"/>
      <c r="P833" s="193" t="str">
        <f>IF(R833 = "", "", COUNT(R$4:$R833))</f>
        <v/>
      </c>
      <c r="Q833" s="193" t="str">
        <f t="shared" si="121"/>
        <v/>
      </c>
      <c r="R833" s="194" t="str">
        <f t="shared" si="122"/>
        <v/>
      </c>
      <c r="S833" s="195" t="str">
        <f t="shared" si="124"/>
        <v/>
      </c>
      <c r="T833" s="196" t="str">
        <f t="shared" si="125"/>
        <v/>
      </c>
      <c r="U833" s="197" t="str">
        <f t="shared" si="126"/>
        <v/>
      </c>
      <c r="V833" s="198" t="str">
        <f t="shared" si="123"/>
        <v/>
      </c>
      <c r="W833" s="339" t="str">
        <f t="shared" si="127"/>
        <v/>
      </c>
      <c r="X833" s="341" t="str">
        <f t="shared" si="128"/>
        <v/>
      </c>
      <c r="Y833" s="277"/>
      <c r="AR833" t="str">
        <f t="shared" si="129"/>
        <v/>
      </c>
      <c r="AS833" t="str">
        <f t="shared" si="130"/>
        <v/>
      </c>
    </row>
    <row r="834" spans="1:45">
      <c r="A834" s="294"/>
      <c r="B834" s="295"/>
      <c r="C834" s="296"/>
      <c r="D834" s="296"/>
      <c r="E834" s="296"/>
      <c r="F834" s="296"/>
      <c r="G834" s="297"/>
      <c r="H834" s="303"/>
      <c r="I834" s="298"/>
      <c r="J834" s="298"/>
      <c r="K834" s="299"/>
      <c r="L834" s="304"/>
      <c r="M834" s="300"/>
      <c r="N834" s="301"/>
      <c r="P834" s="193" t="str">
        <f>IF(R834 = "", "", COUNT(R$4:$R834))</f>
        <v/>
      </c>
      <c r="Q834" s="193" t="str">
        <f t="shared" si="121"/>
        <v/>
      </c>
      <c r="R834" s="194" t="str">
        <f t="shared" si="122"/>
        <v/>
      </c>
      <c r="S834" s="195" t="str">
        <f t="shared" si="124"/>
        <v/>
      </c>
      <c r="T834" s="196" t="str">
        <f t="shared" si="125"/>
        <v/>
      </c>
      <c r="U834" s="197" t="str">
        <f t="shared" si="126"/>
        <v/>
      </c>
      <c r="V834" s="198" t="str">
        <f t="shared" si="123"/>
        <v/>
      </c>
      <c r="W834" s="339" t="str">
        <f t="shared" si="127"/>
        <v/>
      </c>
      <c r="X834" s="341" t="str">
        <f t="shared" si="128"/>
        <v/>
      </c>
      <c r="Y834" s="277"/>
      <c r="AR834" t="str">
        <f t="shared" si="129"/>
        <v/>
      </c>
      <c r="AS834" t="str">
        <f t="shared" si="130"/>
        <v/>
      </c>
    </row>
    <row r="835" spans="1:45">
      <c r="A835" s="294"/>
      <c r="B835" s="295"/>
      <c r="C835" s="296"/>
      <c r="D835" s="296"/>
      <c r="E835" s="296"/>
      <c r="F835" s="296"/>
      <c r="G835" s="297"/>
      <c r="H835" s="303"/>
      <c r="I835" s="298"/>
      <c r="J835" s="298"/>
      <c r="K835" s="299"/>
      <c r="L835" s="304"/>
      <c r="M835" s="300"/>
      <c r="N835" s="301"/>
      <c r="P835" s="193" t="str">
        <f>IF(R835 = "", "", COUNT(R$4:$R835))</f>
        <v/>
      </c>
      <c r="Q835" s="193" t="str">
        <f t="shared" si="121"/>
        <v/>
      </c>
      <c r="R835" s="194" t="str">
        <f t="shared" si="122"/>
        <v/>
      </c>
      <c r="S835" s="195" t="str">
        <f t="shared" si="124"/>
        <v/>
      </c>
      <c r="T835" s="196" t="str">
        <f t="shared" si="125"/>
        <v/>
      </c>
      <c r="U835" s="197" t="str">
        <f t="shared" si="126"/>
        <v/>
      </c>
      <c r="V835" s="198" t="str">
        <f t="shared" si="123"/>
        <v/>
      </c>
      <c r="W835" s="339" t="str">
        <f t="shared" si="127"/>
        <v/>
      </c>
      <c r="X835" s="341" t="str">
        <f t="shared" si="128"/>
        <v/>
      </c>
      <c r="Y835" s="277"/>
      <c r="AR835" t="str">
        <f t="shared" si="129"/>
        <v/>
      </c>
      <c r="AS835" t="str">
        <f t="shared" si="130"/>
        <v/>
      </c>
    </row>
    <row r="836" spans="1:45">
      <c r="A836" s="294"/>
      <c r="B836" s="295"/>
      <c r="C836" s="296"/>
      <c r="D836" s="296"/>
      <c r="E836" s="296"/>
      <c r="F836" s="296"/>
      <c r="G836" s="297"/>
      <c r="H836" s="303"/>
      <c r="I836" s="298"/>
      <c r="J836" s="298"/>
      <c r="K836" s="299"/>
      <c r="L836" s="304"/>
      <c r="M836" s="300"/>
      <c r="N836" s="301"/>
      <c r="P836" s="193" t="str">
        <f>IF(R836 = "", "", COUNT(R$4:$R836))</f>
        <v/>
      </c>
      <c r="Q836" s="193" t="str">
        <f t="shared" ref="Q836:Q899" si="131">IF(C836 &gt; 0, YEAR(B836), "")</f>
        <v/>
      </c>
      <c r="R836" s="194" t="str">
        <f t="shared" ref="R836:R899" si="132">IF(A836="", "", IF(G836="",1,IF(G836="O",1,IF(G836="C",8.4,IF(G836="B",8.4,IF(G836="A",76.8,IF(G836="K",76.8,"ERR")))))))</f>
        <v/>
      </c>
      <c r="S836" s="195" t="str">
        <f t="shared" si="124"/>
        <v/>
      </c>
      <c r="T836" s="196" t="str">
        <f t="shared" si="125"/>
        <v/>
      </c>
      <c r="U836" s="197" t="str">
        <f t="shared" si="126"/>
        <v/>
      </c>
      <c r="V836" s="198" t="str">
        <f t="shared" ref="V836:V899" si="133">IF(IF(M836&lt;&gt;"",G836,"")=0, "O", IF(M836&lt;&gt;"",G836,""))</f>
        <v/>
      </c>
      <c r="W836" s="339" t="str">
        <f t="shared" si="127"/>
        <v/>
      </c>
      <c r="X836" s="341" t="str">
        <f t="shared" si="128"/>
        <v/>
      </c>
      <c r="Y836" s="277"/>
      <c r="AR836" t="str">
        <f t="shared" si="129"/>
        <v/>
      </c>
      <c r="AS836" t="str">
        <f t="shared" si="130"/>
        <v/>
      </c>
    </row>
    <row r="837" spans="1:45">
      <c r="A837" s="294"/>
      <c r="B837" s="295"/>
      <c r="C837" s="296"/>
      <c r="D837" s="296"/>
      <c r="E837" s="296"/>
      <c r="F837" s="296"/>
      <c r="G837" s="297"/>
      <c r="H837" s="303"/>
      <c r="I837" s="298"/>
      <c r="J837" s="298"/>
      <c r="K837" s="299"/>
      <c r="L837" s="304"/>
      <c r="M837" s="300"/>
      <c r="N837" s="301"/>
      <c r="P837" s="193" t="str">
        <f>IF(R837 = "", "", COUNT(R$4:$R837))</f>
        <v/>
      </c>
      <c r="Q837" s="193" t="str">
        <f t="shared" si="131"/>
        <v/>
      </c>
      <c r="R837" s="194" t="str">
        <f t="shared" si="132"/>
        <v/>
      </c>
      <c r="S837" s="195" t="str">
        <f t="shared" ref="S837:S900" si="134">IF(L837&lt;&gt;"",R837,"")</f>
        <v/>
      </c>
      <c r="T837" s="196" t="str">
        <f t="shared" ref="T837:T900" si="135">IF(IF(L837&lt;&gt;"",G837,"")=0, "O", IF(L837&lt;&gt;"",G837,""))</f>
        <v/>
      </c>
      <c r="U837" s="197" t="str">
        <f t="shared" ref="U837:U900" si="136">IF(M837&lt;&gt;"",R837,"")</f>
        <v/>
      </c>
      <c r="V837" s="198" t="str">
        <f t="shared" si="133"/>
        <v/>
      </c>
      <c r="W837" s="339" t="str">
        <f t="shared" ref="W837:W900" si="137">IF(N837&lt;&gt;"",R837,"")</f>
        <v/>
      </c>
      <c r="X837" s="341" t="str">
        <f t="shared" ref="X837:X900" si="138">IF(IF(N837&lt;&gt;"",G837,"")=0, "O", IF(N837&lt;&gt;"",G837,""))</f>
        <v/>
      </c>
      <c r="Y837" s="277"/>
      <c r="AR837" t="str">
        <f t="shared" ref="AR837:AR900" si="139">IF(P837&gt;0, P837, "")</f>
        <v/>
      </c>
      <c r="AS837" t="str">
        <f t="shared" ref="AS837:AS900" si="140">IF(OR(L837="Y",M837="Y",N837="Y"),"Y","")</f>
        <v/>
      </c>
    </row>
    <row r="838" spans="1:45">
      <c r="A838" s="294"/>
      <c r="B838" s="295"/>
      <c r="C838" s="296"/>
      <c r="D838" s="296"/>
      <c r="E838" s="296"/>
      <c r="F838" s="296"/>
      <c r="G838" s="297"/>
      <c r="H838" s="303"/>
      <c r="I838" s="298"/>
      <c r="J838" s="298"/>
      <c r="K838" s="299"/>
      <c r="L838" s="304"/>
      <c r="M838" s="300"/>
      <c r="N838" s="301"/>
      <c r="P838" s="193" t="str">
        <f>IF(R838 = "", "", COUNT(R$4:$R838))</f>
        <v/>
      </c>
      <c r="Q838" s="193" t="str">
        <f t="shared" si="131"/>
        <v/>
      </c>
      <c r="R838" s="194" t="str">
        <f t="shared" si="132"/>
        <v/>
      </c>
      <c r="S838" s="195" t="str">
        <f t="shared" si="134"/>
        <v/>
      </c>
      <c r="T838" s="196" t="str">
        <f t="shared" si="135"/>
        <v/>
      </c>
      <c r="U838" s="197" t="str">
        <f t="shared" si="136"/>
        <v/>
      </c>
      <c r="V838" s="198" t="str">
        <f t="shared" si="133"/>
        <v/>
      </c>
      <c r="W838" s="339" t="str">
        <f t="shared" si="137"/>
        <v/>
      </c>
      <c r="X838" s="341" t="str">
        <f t="shared" si="138"/>
        <v/>
      </c>
      <c r="Y838" s="277"/>
      <c r="AR838" t="str">
        <f t="shared" si="139"/>
        <v/>
      </c>
      <c r="AS838" t="str">
        <f t="shared" si="140"/>
        <v/>
      </c>
    </row>
    <row r="839" spans="1:45">
      <c r="A839" s="294"/>
      <c r="B839" s="295"/>
      <c r="C839" s="296"/>
      <c r="D839" s="296"/>
      <c r="E839" s="296"/>
      <c r="F839" s="296"/>
      <c r="G839" s="297"/>
      <c r="H839" s="303"/>
      <c r="I839" s="298"/>
      <c r="J839" s="298"/>
      <c r="K839" s="299"/>
      <c r="L839" s="304"/>
      <c r="M839" s="300"/>
      <c r="N839" s="301"/>
      <c r="P839" s="193" t="str">
        <f>IF(R839 = "", "", COUNT(R$4:$R839))</f>
        <v/>
      </c>
      <c r="Q839" s="193" t="str">
        <f t="shared" si="131"/>
        <v/>
      </c>
      <c r="R839" s="194" t="str">
        <f t="shared" si="132"/>
        <v/>
      </c>
      <c r="S839" s="195" t="str">
        <f t="shared" si="134"/>
        <v/>
      </c>
      <c r="T839" s="196" t="str">
        <f t="shared" si="135"/>
        <v/>
      </c>
      <c r="U839" s="197" t="str">
        <f t="shared" si="136"/>
        <v/>
      </c>
      <c r="V839" s="198" t="str">
        <f t="shared" si="133"/>
        <v/>
      </c>
      <c r="W839" s="339" t="str">
        <f t="shared" si="137"/>
        <v/>
      </c>
      <c r="X839" s="341" t="str">
        <f t="shared" si="138"/>
        <v/>
      </c>
      <c r="Y839" s="277"/>
      <c r="AR839" t="str">
        <f t="shared" si="139"/>
        <v/>
      </c>
      <c r="AS839" t="str">
        <f t="shared" si="140"/>
        <v/>
      </c>
    </row>
    <row r="840" spans="1:45">
      <c r="A840" s="294"/>
      <c r="B840" s="295"/>
      <c r="C840" s="296"/>
      <c r="D840" s="296"/>
      <c r="E840" s="296"/>
      <c r="F840" s="296"/>
      <c r="G840" s="297"/>
      <c r="H840" s="303"/>
      <c r="I840" s="298"/>
      <c r="J840" s="298"/>
      <c r="K840" s="299"/>
      <c r="L840" s="304"/>
      <c r="M840" s="300"/>
      <c r="N840" s="301"/>
      <c r="P840" s="193" t="str">
        <f>IF(R840 = "", "", COUNT(R$4:$R840))</f>
        <v/>
      </c>
      <c r="Q840" s="193" t="str">
        <f t="shared" si="131"/>
        <v/>
      </c>
      <c r="R840" s="194" t="str">
        <f t="shared" si="132"/>
        <v/>
      </c>
      <c r="S840" s="195" t="str">
        <f t="shared" si="134"/>
        <v/>
      </c>
      <c r="T840" s="196" t="str">
        <f t="shared" si="135"/>
        <v/>
      </c>
      <c r="U840" s="197" t="str">
        <f t="shared" si="136"/>
        <v/>
      </c>
      <c r="V840" s="198" t="str">
        <f t="shared" si="133"/>
        <v/>
      </c>
      <c r="W840" s="339" t="str">
        <f t="shared" si="137"/>
        <v/>
      </c>
      <c r="X840" s="341" t="str">
        <f t="shared" si="138"/>
        <v/>
      </c>
      <c r="Y840" s="277"/>
      <c r="AR840" t="str">
        <f t="shared" si="139"/>
        <v/>
      </c>
      <c r="AS840" t="str">
        <f t="shared" si="140"/>
        <v/>
      </c>
    </row>
    <row r="841" spans="1:45">
      <c r="A841" s="294"/>
      <c r="B841" s="295"/>
      <c r="C841" s="296"/>
      <c r="D841" s="296"/>
      <c r="E841" s="296"/>
      <c r="F841" s="296"/>
      <c r="G841" s="297"/>
      <c r="H841" s="303"/>
      <c r="I841" s="298"/>
      <c r="J841" s="298"/>
      <c r="K841" s="299"/>
      <c r="L841" s="304"/>
      <c r="M841" s="300"/>
      <c r="N841" s="301"/>
      <c r="P841" s="193" t="str">
        <f>IF(R841 = "", "", COUNT(R$4:$R841))</f>
        <v/>
      </c>
      <c r="Q841" s="193" t="str">
        <f t="shared" si="131"/>
        <v/>
      </c>
      <c r="R841" s="194" t="str">
        <f t="shared" si="132"/>
        <v/>
      </c>
      <c r="S841" s="195" t="str">
        <f t="shared" si="134"/>
        <v/>
      </c>
      <c r="T841" s="196" t="str">
        <f t="shared" si="135"/>
        <v/>
      </c>
      <c r="U841" s="197" t="str">
        <f t="shared" si="136"/>
        <v/>
      </c>
      <c r="V841" s="198" t="str">
        <f t="shared" si="133"/>
        <v/>
      </c>
      <c r="W841" s="339" t="str">
        <f t="shared" si="137"/>
        <v/>
      </c>
      <c r="X841" s="341" t="str">
        <f t="shared" si="138"/>
        <v/>
      </c>
      <c r="Y841" s="277"/>
      <c r="AR841" t="str">
        <f t="shared" si="139"/>
        <v/>
      </c>
      <c r="AS841" t="str">
        <f t="shared" si="140"/>
        <v/>
      </c>
    </row>
    <row r="842" spans="1:45">
      <c r="A842" s="294"/>
      <c r="B842" s="295"/>
      <c r="C842" s="296"/>
      <c r="D842" s="296"/>
      <c r="E842" s="296"/>
      <c r="F842" s="296"/>
      <c r="G842" s="297"/>
      <c r="H842" s="303"/>
      <c r="I842" s="298"/>
      <c r="J842" s="298"/>
      <c r="K842" s="299"/>
      <c r="L842" s="304"/>
      <c r="M842" s="300"/>
      <c r="N842" s="301"/>
      <c r="P842" s="193" t="str">
        <f>IF(R842 = "", "", COUNT(R$4:$R842))</f>
        <v/>
      </c>
      <c r="Q842" s="193" t="str">
        <f t="shared" si="131"/>
        <v/>
      </c>
      <c r="R842" s="194" t="str">
        <f t="shared" si="132"/>
        <v/>
      </c>
      <c r="S842" s="195" t="str">
        <f t="shared" si="134"/>
        <v/>
      </c>
      <c r="T842" s="196" t="str">
        <f t="shared" si="135"/>
        <v/>
      </c>
      <c r="U842" s="197" t="str">
        <f t="shared" si="136"/>
        <v/>
      </c>
      <c r="V842" s="198" t="str">
        <f t="shared" si="133"/>
        <v/>
      </c>
      <c r="W842" s="339" t="str">
        <f t="shared" si="137"/>
        <v/>
      </c>
      <c r="X842" s="341" t="str">
        <f t="shared" si="138"/>
        <v/>
      </c>
      <c r="Y842" s="277"/>
      <c r="AR842" t="str">
        <f t="shared" si="139"/>
        <v/>
      </c>
      <c r="AS842" t="str">
        <f t="shared" si="140"/>
        <v/>
      </c>
    </row>
    <row r="843" spans="1:45">
      <c r="A843" s="294"/>
      <c r="B843" s="295"/>
      <c r="C843" s="296"/>
      <c r="D843" s="296"/>
      <c r="E843" s="296"/>
      <c r="F843" s="296"/>
      <c r="G843" s="297"/>
      <c r="H843" s="303"/>
      <c r="I843" s="298"/>
      <c r="J843" s="298"/>
      <c r="K843" s="299"/>
      <c r="L843" s="304"/>
      <c r="M843" s="300"/>
      <c r="N843" s="301"/>
      <c r="P843" s="193" t="str">
        <f>IF(R843 = "", "", COUNT(R$4:$R843))</f>
        <v/>
      </c>
      <c r="Q843" s="193" t="str">
        <f t="shared" si="131"/>
        <v/>
      </c>
      <c r="R843" s="194" t="str">
        <f t="shared" si="132"/>
        <v/>
      </c>
      <c r="S843" s="195" t="str">
        <f t="shared" si="134"/>
        <v/>
      </c>
      <c r="T843" s="196" t="str">
        <f t="shared" si="135"/>
        <v/>
      </c>
      <c r="U843" s="197" t="str">
        <f t="shared" si="136"/>
        <v/>
      </c>
      <c r="V843" s="198" t="str">
        <f t="shared" si="133"/>
        <v/>
      </c>
      <c r="W843" s="339" t="str">
        <f t="shared" si="137"/>
        <v/>
      </c>
      <c r="X843" s="341" t="str">
        <f t="shared" si="138"/>
        <v/>
      </c>
      <c r="Y843" s="277"/>
      <c r="AR843" t="str">
        <f t="shared" si="139"/>
        <v/>
      </c>
      <c r="AS843" t="str">
        <f t="shared" si="140"/>
        <v/>
      </c>
    </row>
    <row r="844" spans="1:45">
      <c r="A844" s="294"/>
      <c r="B844" s="295"/>
      <c r="C844" s="296"/>
      <c r="D844" s="296"/>
      <c r="E844" s="296"/>
      <c r="F844" s="296"/>
      <c r="G844" s="297"/>
      <c r="H844" s="303"/>
      <c r="I844" s="298"/>
      <c r="J844" s="298"/>
      <c r="K844" s="299"/>
      <c r="L844" s="304"/>
      <c r="M844" s="300"/>
      <c r="N844" s="301"/>
      <c r="P844" s="193" t="str">
        <f>IF(R844 = "", "", COUNT(R$4:$R844))</f>
        <v/>
      </c>
      <c r="Q844" s="193" t="str">
        <f t="shared" si="131"/>
        <v/>
      </c>
      <c r="R844" s="194" t="str">
        <f t="shared" si="132"/>
        <v/>
      </c>
      <c r="S844" s="195" t="str">
        <f t="shared" si="134"/>
        <v/>
      </c>
      <c r="T844" s="196" t="str">
        <f t="shared" si="135"/>
        <v/>
      </c>
      <c r="U844" s="197" t="str">
        <f t="shared" si="136"/>
        <v/>
      </c>
      <c r="V844" s="198" t="str">
        <f t="shared" si="133"/>
        <v/>
      </c>
      <c r="W844" s="339" t="str">
        <f t="shared" si="137"/>
        <v/>
      </c>
      <c r="X844" s="341" t="str">
        <f t="shared" si="138"/>
        <v/>
      </c>
      <c r="Y844" s="277"/>
      <c r="AR844" t="str">
        <f t="shared" si="139"/>
        <v/>
      </c>
      <c r="AS844" t="str">
        <f t="shared" si="140"/>
        <v/>
      </c>
    </row>
    <row r="845" spans="1:45">
      <c r="A845" s="294"/>
      <c r="B845" s="295"/>
      <c r="C845" s="296"/>
      <c r="D845" s="296"/>
      <c r="E845" s="296"/>
      <c r="F845" s="296"/>
      <c r="G845" s="297"/>
      <c r="H845" s="303"/>
      <c r="I845" s="298"/>
      <c r="J845" s="298"/>
      <c r="K845" s="299"/>
      <c r="L845" s="304"/>
      <c r="M845" s="300"/>
      <c r="N845" s="301"/>
      <c r="P845" s="193" t="str">
        <f>IF(R845 = "", "", COUNT(R$4:$R845))</f>
        <v/>
      </c>
      <c r="Q845" s="193" t="str">
        <f t="shared" si="131"/>
        <v/>
      </c>
      <c r="R845" s="194" t="str">
        <f t="shared" si="132"/>
        <v/>
      </c>
      <c r="S845" s="195" t="str">
        <f t="shared" si="134"/>
        <v/>
      </c>
      <c r="T845" s="196" t="str">
        <f t="shared" si="135"/>
        <v/>
      </c>
      <c r="U845" s="197" t="str">
        <f t="shared" si="136"/>
        <v/>
      </c>
      <c r="V845" s="198" t="str">
        <f t="shared" si="133"/>
        <v/>
      </c>
      <c r="W845" s="339" t="str">
        <f t="shared" si="137"/>
        <v/>
      </c>
      <c r="X845" s="341" t="str">
        <f t="shared" si="138"/>
        <v/>
      </c>
      <c r="Y845" s="277"/>
      <c r="AR845" t="str">
        <f t="shared" si="139"/>
        <v/>
      </c>
      <c r="AS845" t="str">
        <f t="shared" si="140"/>
        <v/>
      </c>
    </row>
    <row r="846" spans="1:45">
      <c r="A846" s="294"/>
      <c r="B846" s="295"/>
      <c r="C846" s="296"/>
      <c r="D846" s="296"/>
      <c r="E846" s="296"/>
      <c r="F846" s="296"/>
      <c r="G846" s="297"/>
      <c r="H846" s="303"/>
      <c r="I846" s="298"/>
      <c r="J846" s="298"/>
      <c r="K846" s="299"/>
      <c r="L846" s="304"/>
      <c r="M846" s="300"/>
      <c r="N846" s="301"/>
      <c r="P846" s="193" t="str">
        <f>IF(R846 = "", "", COUNT(R$4:$R846))</f>
        <v/>
      </c>
      <c r="Q846" s="193" t="str">
        <f t="shared" si="131"/>
        <v/>
      </c>
      <c r="R846" s="194" t="str">
        <f t="shared" si="132"/>
        <v/>
      </c>
      <c r="S846" s="195" t="str">
        <f t="shared" si="134"/>
        <v/>
      </c>
      <c r="T846" s="196" t="str">
        <f t="shared" si="135"/>
        <v/>
      </c>
      <c r="U846" s="197" t="str">
        <f t="shared" si="136"/>
        <v/>
      </c>
      <c r="V846" s="198" t="str">
        <f t="shared" si="133"/>
        <v/>
      </c>
      <c r="W846" s="339" t="str">
        <f t="shared" si="137"/>
        <v/>
      </c>
      <c r="X846" s="341" t="str">
        <f t="shared" si="138"/>
        <v/>
      </c>
      <c r="Y846" s="277"/>
      <c r="AR846" t="str">
        <f t="shared" si="139"/>
        <v/>
      </c>
      <c r="AS846" t="str">
        <f t="shared" si="140"/>
        <v/>
      </c>
    </row>
    <row r="847" spans="1:45">
      <c r="A847" s="294"/>
      <c r="B847" s="295"/>
      <c r="C847" s="296"/>
      <c r="D847" s="296"/>
      <c r="E847" s="296"/>
      <c r="F847" s="296"/>
      <c r="G847" s="297"/>
      <c r="H847" s="303"/>
      <c r="I847" s="298"/>
      <c r="J847" s="298"/>
      <c r="K847" s="299"/>
      <c r="L847" s="304"/>
      <c r="M847" s="300"/>
      <c r="N847" s="301"/>
      <c r="P847" s="193" t="str">
        <f>IF(R847 = "", "", COUNT(R$4:$R847))</f>
        <v/>
      </c>
      <c r="Q847" s="193" t="str">
        <f t="shared" si="131"/>
        <v/>
      </c>
      <c r="R847" s="194" t="str">
        <f t="shared" si="132"/>
        <v/>
      </c>
      <c r="S847" s="195" t="str">
        <f t="shared" si="134"/>
        <v/>
      </c>
      <c r="T847" s="196" t="str">
        <f t="shared" si="135"/>
        <v/>
      </c>
      <c r="U847" s="197" t="str">
        <f t="shared" si="136"/>
        <v/>
      </c>
      <c r="V847" s="198" t="str">
        <f t="shared" si="133"/>
        <v/>
      </c>
      <c r="W847" s="339" t="str">
        <f t="shared" si="137"/>
        <v/>
      </c>
      <c r="X847" s="341" t="str">
        <f t="shared" si="138"/>
        <v/>
      </c>
      <c r="Y847" s="277"/>
      <c r="AR847" t="str">
        <f t="shared" si="139"/>
        <v/>
      </c>
      <c r="AS847" t="str">
        <f t="shared" si="140"/>
        <v/>
      </c>
    </row>
    <row r="848" spans="1:45">
      <c r="A848" s="294"/>
      <c r="B848" s="295"/>
      <c r="C848" s="296"/>
      <c r="D848" s="296"/>
      <c r="E848" s="296"/>
      <c r="F848" s="296"/>
      <c r="G848" s="297"/>
      <c r="H848" s="303"/>
      <c r="I848" s="298"/>
      <c r="J848" s="298"/>
      <c r="K848" s="299"/>
      <c r="L848" s="304"/>
      <c r="M848" s="300"/>
      <c r="N848" s="301"/>
      <c r="P848" s="193" t="str">
        <f>IF(R848 = "", "", COUNT(R$4:$R848))</f>
        <v/>
      </c>
      <c r="Q848" s="193" t="str">
        <f t="shared" si="131"/>
        <v/>
      </c>
      <c r="R848" s="194" t="str">
        <f t="shared" si="132"/>
        <v/>
      </c>
      <c r="S848" s="195" t="str">
        <f t="shared" si="134"/>
        <v/>
      </c>
      <c r="T848" s="196" t="str">
        <f t="shared" si="135"/>
        <v/>
      </c>
      <c r="U848" s="197" t="str">
        <f t="shared" si="136"/>
        <v/>
      </c>
      <c r="V848" s="198" t="str">
        <f t="shared" si="133"/>
        <v/>
      </c>
      <c r="W848" s="339" t="str">
        <f t="shared" si="137"/>
        <v/>
      </c>
      <c r="X848" s="341" t="str">
        <f t="shared" si="138"/>
        <v/>
      </c>
      <c r="Y848" s="277"/>
      <c r="AR848" t="str">
        <f t="shared" si="139"/>
        <v/>
      </c>
      <c r="AS848" t="str">
        <f t="shared" si="140"/>
        <v/>
      </c>
    </row>
    <row r="849" spans="1:45">
      <c r="A849" s="294"/>
      <c r="B849" s="295"/>
      <c r="C849" s="296"/>
      <c r="D849" s="296"/>
      <c r="E849" s="296"/>
      <c r="F849" s="296"/>
      <c r="G849" s="297"/>
      <c r="H849" s="303"/>
      <c r="I849" s="298"/>
      <c r="J849" s="298"/>
      <c r="K849" s="299"/>
      <c r="L849" s="304"/>
      <c r="M849" s="300"/>
      <c r="N849" s="301"/>
      <c r="P849" s="193" t="str">
        <f>IF(R849 = "", "", COUNT(R$4:$R849))</f>
        <v/>
      </c>
      <c r="Q849" s="193" t="str">
        <f t="shared" si="131"/>
        <v/>
      </c>
      <c r="R849" s="194" t="str">
        <f t="shared" si="132"/>
        <v/>
      </c>
      <c r="S849" s="195" t="str">
        <f t="shared" si="134"/>
        <v/>
      </c>
      <c r="T849" s="196" t="str">
        <f t="shared" si="135"/>
        <v/>
      </c>
      <c r="U849" s="197" t="str">
        <f t="shared" si="136"/>
        <v/>
      </c>
      <c r="V849" s="198" t="str">
        <f t="shared" si="133"/>
        <v/>
      </c>
      <c r="W849" s="339" t="str">
        <f t="shared" si="137"/>
        <v/>
      </c>
      <c r="X849" s="341" t="str">
        <f t="shared" si="138"/>
        <v/>
      </c>
      <c r="Y849" s="277"/>
      <c r="AR849" t="str">
        <f t="shared" si="139"/>
        <v/>
      </c>
      <c r="AS849" t="str">
        <f t="shared" si="140"/>
        <v/>
      </c>
    </row>
    <row r="850" spans="1:45">
      <c r="A850" s="294"/>
      <c r="B850" s="295"/>
      <c r="C850" s="296"/>
      <c r="D850" s="296"/>
      <c r="E850" s="296"/>
      <c r="F850" s="296"/>
      <c r="G850" s="297"/>
      <c r="H850" s="303"/>
      <c r="I850" s="298"/>
      <c r="J850" s="298"/>
      <c r="K850" s="299"/>
      <c r="L850" s="304"/>
      <c r="M850" s="300"/>
      <c r="N850" s="301"/>
      <c r="P850" s="193" t="str">
        <f>IF(R850 = "", "", COUNT(R$4:$R850))</f>
        <v/>
      </c>
      <c r="Q850" s="193" t="str">
        <f t="shared" si="131"/>
        <v/>
      </c>
      <c r="R850" s="194" t="str">
        <f t="shared" si="132"/>
        <v/>
      </c>
      <c r="S850" s="195" t="str">
        <f t="shared" si="134"/>
        <v/>
      </c>
      <c r="T850" s="196" t="str">
        <f t="shared" si="135"/>
        <v/>
      </c>
      <c r="U850" s="197" t="str">
        <f t="shared" si="136"/>
        <v/>
      </c>
      <c r="V850" s="198" t="str">
        <f t="shared" si="133"/>
        <v/>
      </c>
      <c r="W850" s="339" t="str">
        <f t="shared" si="137"/>
        <v/>
      </c>
      <c r="X850" s="341" t="str">
        <f t="shared" si="138"/>
        <v/>
      </c>
      <c r="Y850" s="277"/>
      <c r="AR850" t="str">
        <f t="shared" si="139"/>
        <v/>
      </c>
      <c r="AS850" t="str">
        <f t="shared" si="140"/>
        <v/>
      </c>
    </row>
    <row r="851" spans="1:45">
      <c r="A851" s="294"/>
      <c r="B851" s="295"/>
      <c r="C851" s="296"/>
      <c r="D851" s="296"/>
      <c r="E851" s="296"/>
      <c r="F851" s="296"/>
      <c r="G851" s="297"/>
      <c r="H851" s="303"/>
      <c r="I851" s="298"/>
      <c r="J851" s="298"/>
      <c r="K851" s="299"/>
      <c r="L851" s="304"/>
      <c r="M851" s="300"/>
      <c r="N851" s="301"/>
      <c r="P851" s="193" t="str">
        <f>IF(R851 = "", "", COUNT(R$4:$R851))</f>
        <v/>
      </c>
      <c r="Q851" s="193" t="str">
        <f t="shared" si="131"/>
        <v/>
      </c>
      <c r="R851" s="194" t="str">
        <f t="shared" si="132"/>
        <v/>
      </c>
      <c r="S851" s="195" t="str">
        <f t="shared" si="134"/>
        <v/>
      </c>
      <c r="T851" s="196" t="str">
        <f t="shared" si="135"/>
        <v/>
      </c>
      <c r="U851" s="197" t="str">
        <f t="shared" si="136"/>
        <v/>
      </c>
      <c r="V851" s="198" t="str">
        <f t="shared" si="133"/>
        <v/>
      </c>
      <c r="W851" s="339" t="str">
        <f t="shared" si="137"/>
        <v/>
      </c>
      <c r="X851" s="341" t="str">
        <f t="shared" si="138"/>
        <v/>
      </c>
      <c r="Y851" s="277"/>
      <c r="AR851" t="str">
        <f t="shared" si="139"/>
        <v/>
      </c>
      <c r="AS851" t="str">
        <f t="shared" si="140"/>
        <v/>
      </c>
    </row>
    <row r="852" spans="1:45">
      <c r="A852" s="294"/>
      <c r="B852" s="295"/>
      <c r="C852" s="296"/>
      <c r="D852" s="296"/>
      <c r="E852" s="296"/>
      <c r="F852" s="296"/>
      <c r="G852" s="297"/>
      <c r="H852" s="303"/>
      <c r="I852" s="298"/>
      <c r="J852" s="298"/>
      <c r="K852" s="299"/>
      <c r="L852" s="304"/>
      <c r="M852" s="300"/>
      <c r="N852" s="301"/>
      <c r="P852" s="193" t="str">
        <f>IF(R852 = "", "", COUNT(R$4:$R852))</f>
        <v/>
      </c>
      <c r="Q852" s="193" t="str">
        <f t="shared" si="131"/>
        <v/>
      </c>
      <c r="R852" s="194" t="str">
        <f t="shared" si="132"/>
        <v/>
      </c>
      <c r="S852" s="195" t="str">
        <f t="shared" si="134"/>
        <v/>
      </c>
      <c r="T852" s="196" t="str">
        <f t="shared" si="135"/>
        <v/>
      </c>
      <c r="U852" s="197" t="str">
        <f t="shared" si="136"/>
        <v/>
      </c>
      <c r="V852" s="198" t="str">
        <f t="shared" si="133"/>
        <v/>
      </c>
      <c r="W852" s="339" t="str">
        <f t="shared" si="137"/>
        <v/>
      </c>
      <c r="X852" s="341" t="str">
        <f t="shared" si="138"/>
        <v/>
      </c>
      <c r="Y852" s="277"/>
      <c r="AR852" t="str">
        <f t="shared" si="139"/>
        <v/>
      </c>
      <c r="AS852" t="str">
        <f t="shared" si="140"/>
        <v/>
      </c>
    </row>
    <row r="853" spans="1:45">
      <c r="A853" s="294"/>
      <c r="B853" s="295"/>
      <c r="C853" s="296"/>
      <c r="D853" s="296"/>
      <c r="E853" s="296"/>
      <c r="F853" s="296"/>
      <c r="G853" s="297"/>
      <c r="H853" s="303"/>
      <c r="I853" s="298"/>
      <c r="J853" s="298"/>
      <c r="K853" s="299"/>
      <c r="L853" s="304"/>
      <c r="M853" s="300"/>
      <c r="N853" s="301"/>
      <c r="P853" s="193" t="str">
        <f>IF(R853 = "", "", COUNT(R$4:$R853))</f>
        <v/>
      </c>
      <c r="Q853" s="193" t="str">
        <f t="shared" si="131"/>
        <v/>
      </c>
      <c r="R853" s="194" t="str">
        <f t="shared" si="132"/>
        <v/>
      </c>
      <c r="S853" s="195" t="str">
        <f t="shared" si="134"/>
        <v/>
      </c>
      <c r="T853" s="196" t="str">
        <f t="shared" si="135"/>
        <v/>
      </c>
      <c r="U853" s="197" t="str">
        <f t="shared" si="136"/>
        <v/>
      </c>
      <c r="V853" s="198" t="str">
        <f t="shared" si="133"/>
        <v/>
      </c>
      <c r="W853" s="339" t="str">
        <f t="shared" si="137"/>
        <v/>
      </c>
      <c r="X853" s="341" t="str">
        <f t="shared" si="138"/>
        <v/>
      </c>
      <c r="Y853" s="277"/>
      <c r="AR853" t="str">
        <f t="shared" si="139"/>
        <v/>
      </c>
      <c r="AS853" t="str">
        <f t="shared" si="140"/>
        <v/>
      </c>
    </row>
    <row r="854" spans="1:45">
      <c r="A854" s="294"/>
      <c r="B854" s="295"/>
      <c r="C854" s="296"/>
      <c r="D854" s="296"/>
      <c r="E854" s="296"/>
      <c r="F854" s="296"/>
      <c r="G854" s="297"/>
      <c r="H854" s="303"/>
      <c r="I854" s="298"/>
      <c r="J854" s="298"/>
      <c r="K854" s="299"/>
      <c r="L854" s="304"/>
      <c r="M854" s="300"/>
      <c r="N854" s="301"/>
      <c r="P854" s="193" t="str">
        <f>IF(R854 = "", "", COUNT(R$4:$R854))</f>
        <v/>
      </c>
      <c r="Q854" s="193" t="str">
        <f t="shared" si="131"/>
        <v/>
      </c>
      <c r="R854" s="194" t="str">
        <f t="shared" si="132"/>
        <v/>
      </c>
      <c r="S854" s="195" t="str">
        <f t="shared" si="134"/>
        <v/>
      </c>
      <c r="T854" s="196" t="str">
        <f t="shared" si="135"/>
        <v/>
      </c>
      <c r="U854" s="197" t="str">
        <f t="shared" si="136"/>
        <v/>
      </c>
      <c r="V854" s="198" t="str">
        <f t="shared" si="133"/>
        <v/>
      </c>
      <c r="W854" s="339" t="str">
        <f t="shared" si="137"/>
        <v/>
      </c>
      <c r="X854" s="341" t="str">
        <f t="shared" si="138"/>
        <v/>
      </c>
      <c r="Y854" s="277"/>
      <c r="AR854" t="str">
        <f t="shared" si="139"/>
        <v/>
      </c>
      <c r="AS854" t="str">
        <f t="shared" si="140"/>
        <v/>
      </c>
    </row>
    <row r="855" spans="1:45">
      <c r="A855" s="294"/>
      <c r="B855" s="295"/>
      <c r="C855" s="296"/>
      <c r="D855" s="296"/>
      <c r="E855" s="296"/>
      <c r="F855" s="296"/>
      <c r="G855" s="297"/>
      <c r="H855" s="303"/>
      <c r="I855" s="298"/>
      <c r="J855" s="298"/>
      <c r="K855" s="299"/>
      <c r="L855" s="304"/>
      <c r="M855" s="300"/>
      <c r="N855" s="301"/>
      <c r="P855" s="193" t="str">
        <f>IF(R855 = "", "", COUNT(R$4:$R855))</f>
        <v/>
      </c>
      <c r="Q855" s="193" t="str">
        <f t="shared" si="131"/>
        <v/>
      </c>
      <c r="R855" s="194" t="str">
        <f t="shared" si="132"/>
        <v/>
      </c>
      <c r="S855" s="195" t="str">
        <f t="shared" si="134"/>
        <v/>
      </c>
      <c r="T855" s="196" t="str">
        <f t="shared" si="135"/>
        <v/>
      </c>
      <c r="U855" s="197" t="str">
        <f t="shared" si="136"/>
        <v/>
      </c>
      <c r="V855" s="198" t="str">
        <f t="shared" si="133"/>
        <v/>
      </c>
      <c r="W855" s="339" t="str">
        <f t="shared" si="137"/>
        <v/>
      </c>
      <c r="X855" s="341" t="str">
        <f t="shared" si="138"/>
        <v/>
      </c>
      <c r="Y855" s="277"/>
      <c r="AR855" t="str">
        <f t="shared" si="139"/>
        <v/>
      </c>
      <c r="AS855" t="str">
        <f t="shared" si="140"/>
        <v/>
      </c>
    </row>
    <row r="856" spans="1:45">
      <c r="A856" s="294"/>
      <c r="B856" s="295"/>
      <c r="C856" s="296"/>
      <c r="D856" s="296"/>
      <c r="E856" s="296"/>
      <c r="F856" s="296"/>
      <c r="G856" s="297"/>
      <c r="H856" s="303"/>
      <c r="I856" s="298"/>
      <c r="J856" s="298"/>
      <c r="K856" s="299"/>
      <c r="L856" s="304"/>
      <c r="M856" s="300"/>
      <c r="N856" s="301"/>
      <c r="P856" s="193" t="str">
        <f>IF(R856 = "", "", COUNT(R$4:$R856))</f>
        <v/>
      </c>
      <c r="Q856" s="193" t="str">
        <f t="shared" si="131"/>
        <v/>
      </c>
      <c r="R856" s="194" t="str">
        <f t="shared" si="132"/>
        <v/>
      </c>
      <c r="S856" s="195" t="str">
        <f t="shared" si="134"/>
        <v/>
      </c>
      <c r="T856" s="196" t="str">
        <f t="shared" si="135"/>
        <v/>
      </c>
      <c r="U856" s="197" t="str">
        <f t="shared" si="136"/>
        <v/>
      </c>
      <c r="V856" s="198" t="str">
        <f t="shared" si="133"/>
        <v/>
      </c>
      <c r="W856" s="339" t="str">
        <f t="shared" si="137"/>
        <v/>
      </c>
      <c r="X856" s="341" t="str">
        <f t="shared" si="138"/>
        <v/>
      </c>
      <c r="Y856" s="277"/>
      <c r="AR856" t="str">
        <f t="shared" si="139"/>
        <v/>
      </c>
      <c r="AS856" t="str">
        <f t="shared" si="140"/>
        <v/>
      </c>
    </row>
    <row r="857" spans="1:45">
      <c r="A857" s="294"/>
      <c r="B857" s="295"/>
      <c r="C857" s="296"/>
      <c r="D857" s="296"/>
      <c r="E857" s="296"/>
      <c r="F857" s="296"/>
      <c r="G857" s="297"/>
      <c r="H857" s="303"/>
      <c r="I857" s="298"/>
      <c r="J857" s="298"/>
      <c r="K857" s="299"/>
      <c r="L857" s="304"/>
      <c r="M857" s="300"/>
      <c r="N857" s="301"/>
      <c r="P857" s="193" t="str">
        <f>IF(R857 = "", "", COUNT(R$4:$R857))</f>
        <v/>
      </c>
      <c r="Q857" s="193" t="str">
        <f t="shared" si="131"/>
        <v/>
      </c>
      <c r="R857" s="194" t="str">
        <f t="shared" si="132"/>
        <v/>
      </c>
      <c r="S857" s="195" t="str">
        <f t="shared" si="134"/>
        <v/>
      </c>
      <c r="T857" s="196" t="str">
        <f t="shared" si="135"/>
        <v/>
      </c>
      <c r="U857" s="197" t="str">
        <f t="shared" si="136"/>
        <v/>
      </c>
      <c r="V857" s="198" t="str">
        <f t="shared" si="133"/>
        <v/>
      </c>
      <c r="W857" s="339" t="str">
        <f t="shared" si="137"/>
        <v/>
      </c>
      <c r="X857" s="341" t="str">
        <f t="shared" si="138"/>
        <v/>
      </c>
      <c r="Y857" s="277"/>
      <c r="AR857" t="str">
        <f t="shared" si="139"/>
        <v/>
      </c>
      <c r="AS857" t="str">
        <f t="shared" si="140"/>
        <v/>
      </c>
    </row>
    <row r="858" spans="1:45">
      <c r="A858" s="294"/>
      <c r="B858" s="295"/>
      <c r="C858" s="296"/>
      <c r="D858" s="296"/>
      <c r="E858" s="296"/>
      <c r="F858" s="296"/>
      <c r="G858" s="297"/>
      <c r="H858" s="303"/>
      <c r="I858" s="298"/>
      <c r="J858" s="298"/>
      <c r="K858" s="299"/>
      <c r="L858" s="304"/>
      <c r="M858" s="300"/>
      <c r="N858" s="301"/>
      <c r="P858" s="193" t="str">
        <f>IF(R858 = "", "", COUNT(R$4:$R858))</f>
        <v/>
      </c>
      <c r="Q858" s="193" t="str">
        <f t="shared" si="131"/>
        <v/>
      </c>
      <c r="R858" s="194" t="str">
        <f t="shared" si="132"/>
        <v/>
      </c>
      <c r="S858" s="195" t="str">
        <f t="shared" si="134"/>
        <v/>
      </c>
      <c r="T858" s="196" t="str">
        <f t="shared" si="135"/>
        <v/>
      </c>
      <c r="U858" s="197" t="str">
        <f t="shared" si="136"/>
        <v/>
      </c>
      <c r="V858" s="198" t="str">
        <f t="shared" si="133"/>
        <v/>
      </c>
      <c r="W858" s="339" t="str">
        <f t="shared" si="137"/>
        <v/>
      </c>
      <c r="X858" s="341" t="str">
        <f t="shared" si="138"/>
        <v/>
      </c>
      <c r="Y858" s="277"/>
      <c r="AR858" t="str">
        <f t="shared" si="139"/>
        <v/>
      </c>
      <c r="AS858" t="str">
        <f t="shared" si="140"/>
        <v/>
      </c>
    </row>
    <row r="859" spans="1:45">
      <c r="A859" s="294"/>
      <c r="B859" s="295"/>
      <c r="C859" s="296"/>
      <c r="D859" s="296"/>
      <c r="E859" s="296"/>
      <c r="F859" s="296"/>
      <c r="G859" s="297"/>
      <c r="H859" s="303"/>
      <c r="I859" s="298"/>
      <c r="J859" s="298"/>
      <c r="K859" s="299"/>
      <c r="L859" s="304"/>
      <c r="M859" s="300"/>
      <c r="N859" s="301"/>
      <c r="P859" s="193" t="str">
        <f>IF(R859 = "", "", COUNT(R$4:$R859))</f>
        <v/>
      </c>
      <c r="Q859" s="193" t="str">
        <f t="shared" si="131"/>
        <v/>
      </c>
      <c r="R859" s="194" t="str">
        <f t="shared" si="132"/>
        <v/>
      </c>
      <c r="S859" s="195" t="str">
        <f t="shared" si="134"/>
        <v/>
      </c>
      <c r="T859" s="196" t="str">
        <f t="shared" si="135"/>
        <v/>
      </c>
      <c r="U859" s="197" t="str">
        <f t="shared" si="136"/>
        <v/>
      </c>
      <c r="V859" s="198" t="str">
        <f t="shared" si="133"/>
        <v/>
      </c>
      <c r="W859" s="339" t="str">
        <f t="shared" si="137"/>
        <v/>
      </c>
      <c r="X859" s="341" t="str">
        <f t="shared" si="138"/>
        <v/>
      </c>
      <c r="Y859" s="277"/>
      <c r="AR859" t="str">
        <f t="shared" si="139"/>
        <v/>
      </c>
      <c r="AS859" t="str">
        <f t="shared" si="140"/>
        <v/>
      </c>
    </row>
    <row r="860" spans="1:45">
      <c r="A860" s="294"/>
      <c r="B860" s="295"/>
      <c r="C860" s="296"/>
      <c r="D860" s="296"/>
      <c r="E860" s="296"/>
      <c r="F860" s="296"/>
      <c r="G860" s="297"/>
      <c r="H860" s="303"/>
      <c r="I860" s="298"/>
      <c r="J860" s="298"/>
      <c r="K860" s="299"/>
      <c r="L860" s="304"/>
      <c r="M860" s="300"/>
      <c r="N860" s="301"/>
      <c r="P860" s="193" t="str">
        <f>IF(R860 = "", "", COUNT(R$4:$R860))</f>
        <v/>
      </c>
      <c r="Q860" s="193" t="str">
        <f t="shared" si="131"/>
        <v/>
      </c>
      <c r="R860" s="194" t="str">
        <f t="shared" si="132"/>
        <v/>
      </c>
      <c r="S860" s="195" t="str">
        <f t="shared" si="134"/>
        <v/>
      </c>
      <c r="T860" s="196" t="str">
        <f t="shared" si="135"/>
        <v/>
      </c>
      <c r="U860" s="197" t="str">
        <f t="shared" si="136"/>
        <v/>
      </c>
      <c r="V860" s="198" t="str">
        <f t="shared" si="133"/>
        <v/>
      </c>
      <c r="W860" s="339" t="str">
        <f t="shared" si="137"/>
        <v/>
      </c>
      <c r="X860" s="341" t="str">
        <f t="shared" si="138"/>
        <v/>
      </c>
      <c r="Y860" s="277"/>
      <c r="AR860" t="str">
        <f t="shared" si="139"/>
        <v/>
      </c>
      <c r="AS860" t="str">
        <f t="shared" si="140"/>
        <v/>
      </c>
    </row>
    <row r="861" spans="1:45">
      <c r="A861" s="294"/>
      <c r="B861" s="295"/>
      <c r="C861" s="296"/>
      <c r="D861" s="296"/>
      <c r="E861" s="296"/>
      <c r="F861" s="296"/>
      <c r="G861" s="297"/>
      <c r="H861" s="303"/>
      <c r="I861" s="298"/>
      <c r="J861" s="298"/>
      <c r="K861" s="299"/>
      <c r="L861" s="304"/>
      <c r="M861" s="300"/>
      <c r="N861" s="301"/>
      <c r="P861" s="193" t="str">
        <f>IF(R861 = "", "", COUNT(R$4:$R861))</f>
        <v/>
      </c>
      <c r="Q861" s="193" t="str">
        <f t="shared" si="131"/>
        <v/>
      </c>
      <c r="R861" s="194" t="str">
        <f t="shared" si="132"/>
        <v/>
      </c>
      <c r="S861" s="195" t="str">
        <f t="shared" si="134"/>
        <v/>
      </c>
      <c r="T861" s="196" t="str">
        <f t="shared" si="135"/>
        <v/>
      </c>
      <c r="U861" s="197" t="str">
        <f t="shared" si="136"/>
        <v/>
      </c>
      <c r="V861" s="198" t="str">
        <f t="shared" si="133"/>
        <v/>
      </c>
      <c r="W861" s="339" t="str">
        <f t="shared" si="137"/>
        <v/>
      </c>
      <c r="X861" s="341" t="str">
        <f t="shared" si="138"/>
        <v/>
      </c>
      <c r="Y861" s="277"/>
      <c r="AR861" t="str">
        <f t="shared" si="139"/>
        <v/>
      </c>
      <c r="AS861" t="str">
        <f t="shared" si="140"/>
        <v/>
      </c>
    </row>
    <row r="862" spans="1:45">
      <c r="A862" s="294"/>
      <c r="B862" s="295"/>
      <c r="C862" s="296"/>
      <c r="D862" s="296"/>
      <c r="E862" s="296"/>
      <c r="F862" s="296"/>
      <c r="G862" s="297"/>
      <c r="H862" s="303"/>
      <c r="I862" s="298"/>
      <c r="J862" s="298"/>
      <c r="K862" s="299"/>
      <c r="L862" s="304"/>
      <c r="M862" s="300"/>
      <c r="N862" s="301"/>
      <c r="P862" s="193" t="str">
        <f>IF(R862 = "", "", COUNT(R$4:$R862))</f>
        <v/>
      </c>
      <c r="Q862" s="193" t="str">
        <f t="shared" si="131"/>
        <v/>
      </c>
      <c r="R862" s="194" t="str">
        <f t="shared" si="132"/>
        <v/>
      </c>
      <c r="S862" s="195" t="str">
        <f t="shared" si="134"/>
        <v/>
      </c>
      <c r="T862" s="196" t="str">
        <f t="shared" si="135"/>
        <v/>
      </c>
      <c r="U862" s="197" t="str">
        <f t="shared" si="136"/>
        <v/>
      </c>
      <c r="V862" s="198" t="str">
        <f t="shared" si="133"/>
        <v/>
      </c>
      <c r="W862" s="339" t="str">
        <f t="shared" si="137"/>
        <v/>
      </c>
      <c r="X862" s="341" t="str">
        <f t="shared" si="138"/>
        <v/>
      </c>
      <c r="Y862" s="277"/>
      <c r="AR862" t="str">
        <f t="shared" si="139"/>
        <v/>
      </c>
      <c r="AS862" t="str">
        <f t="shared" si="140"/>
        <v/>
      </c>
    </row>
    <row r="863" spans="1:45">
      <c r="A863" s="294"/>
      <c r="B863" s="295"/>
      <c r="C863" s="296"/>
      <c r="D863" s="296"/>
      <c r="E863" s="296"/>
      <c r="F863" s="296"/>
      <c r="G863" s="297"/>
      <c r="H863" s="303"/>
      <c r="I863" s="298"/>
      <c r="J863" s="298"/>
      <c r="K863" s="299"/>
      <c r="L863" s="304"/>
      <c r="M863" s="300"/>
      <c r="N863" s="301"/>
      <c r="P863" s="193" t="str">
        <f>IF(R863 = "", "", COUNT(R$4:$R863))</f>
        <v/>
      </c>
      <c r="Q863" s="193" t="str">
        <f t="shared" si="131"/>
        <v/>
      </c>
      <c r="R863" s="194" t="str">
        <f t="shared" si="132"/>
        <v/>
      </c>
      <c r="S863" s="195" t="str">
        <f t="shared" si="134"/>
        <v/>
      </c>
      <c r="T863" s="196" t="str">
        <f t="shared" si="135"/>
        <v/>
      </c>
      <c r="U863" s="197" t="str">
        <f t="shared" si="136"/>
        <v/>
      </c>
      <c r="V863" s="198" t="str">
        <f t="shared" si="133"/>
        <v/>
      </c>
      <c r="W863" s="339" t="str">
        <f t="shared" si="137"/>
        <v/>
      </c>
      <c r="X863" s="341" t="str">
        <f t="shared" si="138"/>
        <v/>
      </c>
      <c r="Y863" s="277"/>
      <c r="AR863" t="str">
        <f t="shared" si="139"/>
        <v/>
      </c>
      <c r="AS863" t="str">
        <f t="shared" si="140"/>
        <v/>
      </c>
    </row>
    <row r="864" spans="1:45">
      <c r="A864" s="294"/>
      <c r="B864" s="295"/>
      <c r="C864" s="296"/>
      <c r="D864" s="296"/>
      <c r="E864" s="296"/>
      <c r="F864" s="296"/>
      <c r="G864" s="297"/>
      <c r="H864" s="303"/>
      <c r="I864" s="298"/>
      <c r="J864" s="298"/>
      <c r="K864" s="299"/>
      <c r="L864" s="304"/>
      <c r="M864" s="300"/>
      <c r="N864" s="301"/>
      <c r="P864" s="193" t="str">
        <f>IF(R864 = "", "", COUNT(R$4:$R864))</f>
        <v/>
      </c>
      <c r="Q864" s="193" t="str">
        <f t="shared" si="131"/>
        <v/>
      </c>
      <c r="R864" s="194" t="str">
        <f t="shared" si="132"/>
        <v/>
      </c>
      <c r="S864" s="195" t="str">
        <f t="shared" si="134"/>
        <v/>
      </c>
      <c r="T864" s="196" t="str">
        <f t="shared" si="135"/>
        <v/>
      </c>
      <c r="U864" s="197" t="str">
        <f t="shared" si="136"/>
        <v/>
      </c>
      <c r="V864" s="198" t="str">
        <f t="shared" si="133"/>
        <v/>
      </c>
      <c r="W864" s="339" t="str">
        <f t="shared" si="137"/>
        <v/>
      </c>
      <c r="X864" s="341" t="str">
        <f t="shared" si="138"/>
        <v/>
      </c>
      <c r="Y864" s="277"/>
      <c r="AR864" t="str">
        <f t="shared" si="139"/>
        <v/>
      </c>
      <c r="AS864" t="str">
        <f t="shared" si="140"/>
        <v/>
      </c>
    </row>
    <row r="865" spans="1:45">
      <c r="A865" s="294"/>
      <c r="B865" s="295"/>
      <c r="C865" s="296"/>
      <c r="D865" s="296"/>
      <c r="E865" s="296"/>
      <c r="F865" s="296"/>
      <c r="G865" s="297"/>
      <c r="H865" s="303"/>
      <c r="I865" s="298"/>
      <c r="J865" s="298"/>
      <c r="K865" s="299"/>
      <c r="L865" s="304"/>
      <c r="M865" s="300"/>
      <c r="N865" s="301"/>
      <c r="P865" s="193" t="str">
        <f>IF(R865 = "", "", COUNT(R$4:$R865))</f>
        <v/>
      </c>
      <c r="Q865" s="193" t="str">
        <f t="shared" si="131"/>
        <v/>
      </c>
      <c r="R865" s="194" t="str">
        <f t="shared" si="132"/>
        <v/>
      </c>
      <c r="S865" s="195" t="str">
        <f t="shared" si="134"/>
        <v/>
      </c>
      <c r="T865" s="196" t="str">
        <f t="shared" si="135"/>
        <v/>
      </c>
      <c r="U865" s="197" t="str">
        <f t="shared" si="136"/>
        <v/>
      </c>
      <c r="V865" s="198" t="str">
        <f t="shared" si="133"/>
        <v/>
      </c>
      <c r="W865" s="339" t="str">
        <f t="shared" si="137"/>
        <v/>
      </c>
      <c r="X865" s="341" t="str">
        <f t="shared" si="138"/>
        <v/>
      </c>
      <c r="Y865" s="277"/>
      <c r="AR865" t="str">
        <f t="shared" si="139"/>
        <v/>
      </c>
      <c r="AS865" t="str">
        <f t="shared" si="140"/>
        <v/>
      </c>
    </row>
    <row r="866" spans="1:45">
      <c r="A866" s="294"/>
      <c r="B866" s="295"/>
      <c r="C866" s="296"/>
      <c r="D866" s="296"/>
      <c r="E866" s="296"/>
      <c r="F866" s="296"/>
      <c r="G866" s="297"/>
      <c r="H866" s="303"/>
      <c r="I866" s="298"/>
      <c r="J866" s="298"/>
      <c r="K866" s="299"/>
      <c r="L866" s="304"/>
      <c r="M866" s="300"/>
      <c r="N866" s="301"/>
      <c r="P866" s="193" t="str">
        <f>IF(R866 = "", "", COUNT(R$4:$R866))</f>
        <v/>
      </c>
      <c r="Q866" s="193" t="str">
        <f t="shared" si="131"/>
        <v/>
      </c>
      <c r="R866" s="194" t="str">
        <f t="shared" si="132"/>
        <v/>
      </c>
      <c r="S866" s="195" t="str">
        <f t="shared" si="134"/>
        <v/>
      </c>
      <c r="T866" s="196" t="str">
        <f t="shared" si="135"/>
        <v/>
      </c>
      <c r="U866" s="197" t="str">
        <f t="shared" si="136"/>
        <v/>
      </c>
      <c r="V866" s="198" t="str">
        <f t="shared" si="133"/>
        <v/>
      </c>
      <c r="W866" s="339" t="str">
        <f t="shared" si="137"/>
        <v/>
      </c>
      <c r="X866" s="341" t="str">
        <f t="shared" si="138"/>
        <v/>
      </c>
      <c r="Y866" s="277"/>
      <c r="AR866" t="str">
        <f t="shared" si="139"/>
        <v/>
      </c>
      <c r="AS866" t="str">
        <f t="shared" si="140"/>
        <v/>
      </c>
    </row>
    <row r="867" spans="1:45">
      <c r="A867" s="294"/>
      <c r="B867" s="295"/>
      <c r="C867" s="296"/>
      <c r="D867" s="296"/>
      <c r="E867" s="296"/>
      <c r="F867" s="296"/>
      <c r="G867" s="297"/>
      <c r="H867" s="303"/>
      <c r="I867" s="298"/>
      <c r="J867" s="298"/>
      <c r="K867" s="299"/>
      <c r="L867" s="304"/>
      <c r="M867" s="300"/>
      <c r="N867" s="301"/>
      <c r="P867" s="193" t="str">
        <f>IF(R867 = "", "", COUNT(R$4:$R867))</f>
        <v/>
      </c>
      <c r="Q867" s="193" t="str">
        <f t="shared" si="131"/>
        <v/>
      </c>
      <c r="R867" s="194" t="str">
        <f t="shared" si="132"/>
        <v/>
      </c>
      <c r="S867" s="195" t="str">
        <f t="shared" si="134"/>
        <v/>
      </c>
      <c r="T867" s="196" t="str">
        <f t="shared" si="135"/>
        <v/>
      </c>
      <c r="U867" s="197" t="str">
        <f t="shared" si="136"/>
        <v/>
      </c>
      <c r="V867" s="198" t="str">
        <f t="shared" si="133"/>
        <v/>
      </c>
      <c r="W867" s="339" t="str">
        <f t="shared" si="137"/>
        <v/>
      </c>
      <c r="X867" s="341" t="str">
        <f t="shared" si="138"/>
        <v/>
      </c>
      <c r="Y867" s="277"/>
      <c r="AR867" t="str">
        <f t="shared" si="139"/>
        <v/>
      </c>
      <c r="AS867" t="str">
        <f t="shared" si="140"/>
        <v/>
      </c>
    </row>
    <row r="868" spans="1:45">
      <c r="A868" s="294"/>
      <c r="B868" s="295"/>
      <c r="C868" s="296"/>
      <c r="D868" s="296"/>
      <c r="E868" s="296"/>
      <c r="F868" s="296"/>
      <c r="G868" s="297"/>
      <c r="H868" s="303"/>
      <c r="I868" s="298"/>
      <c r="J868" s="298"/>
      <c r="K868" s="299"/>
      <c r="L868" s="304"/>
      <c r="M868" s="300"/>
      <c r="N868" s="301"/>
      <c r="P868" s="193" t="str">
        <f>IF(R868 = "", "", COUNT(R$4:$R868))</f>
        <v/>
      </c>
      <c r="Q868" s="193" t="str">
        <f t="shared" si="131"/>
        <v/>
      </c>
      <c r="R868" s="194" t="str">
        <f t="shared" si="132"/>
        <v/>
      </c>
      <c r="S868" s="195" t="str">
        <f t="shared" si="134"/>
        <v/>
      </c>
      <c r="T868" s="196" t="str">
        <f t="shared" si="135"/>
        <v/>
      </c>
      <c r="U868" s="197" t="str">
        <f t="shared" si="136"/>
        <v/>
      </c>
      <c r="V868" s="198" t="str">
        <f t="shared" si="133"/>
        <v/>
      </c>
      <c r="W868" s="339" t="str">
        <f t="shared" si="137"/>
        <v/>
      </c>
      <c r="X868" s="341" t="str">
        <f t="shared" si="138"/>
        <v/>
      </c>
      <c r="Y868" s="277"/>
      <c r="AR868" t="str">
        <f t="shared" si="139"/>
        <v/>
      </c>
      <c r="AS868" t="str">
        <f t="shared" si="140"/>
        <v/>
      </c>
    </row>
    <row r="869" spans="1:45">
      <c r="A869" s="294"/>
      <c r="B869" s="295"/>
      <c r="C869" s="296"/>
      <c r="D869" s="296"/>
      <c r="E869" s="296"/>
      <c r="F869" s="296"/>
      <c r="G869" s="297"/>
      <c r="H869" s="303"/>
      <c r="I869" s="298"/>
      <c r="J869" s="298"/>
      <c r="K869" s="299"/>
      <c r="L869" s="304"/>
      <c r="M869" s="300"/>
      <c r="N869" s="301"/>
      <c r="P869" s="193" t="str">
        <f>IF(R869 = "", "", COUNT(R$4:$R869))</f>
        <v/>
      </c>
      <c r="Q869" s="193" t="str">
        <f t="shared" si="131"/>
        <v/>
      </c>
      <c r="R869" s="194" t="str">
        <f t="shared" si="132"/>
        <v/>
      </c>
      <c r="S869" s="195" t="str">
        <f t="shared" si="134"/>
        <v/>
      </c>
      <c r="T869" s="196" t="str">
        <f t="shared" si="135"/>
        <v/>
      </c>
      <c r="U869" s="197" t="str">
        <f t="shared" si="136"/>
        <v/>
      </c>
      <c r="V869" s="198" t="str">
        <f t="shared" si="133"/>
        <v/>
      </c>
      <c r="W869" s="339" t="str">
        <f t="shared" si="137"/>
        <v/>
      </c>
      <c r="X869" s="341" t="str">
        <f t="shared" si="138"/>
        <v/>
      </c>
      <c r="Y869" s="277"/>
      <c r="AR869" t="str">
        <f t="shared" si="139"/>
        <v/>
      </c>
      <c r="AS869" t="str">
        <f t="shared" si="140"/>
        <v/>
      </c>
    </row>
    <row r="870" spans="1:45">
      <c r="A870" s="294"/>
      <c r="B870" s="295"/>
      <c r="C870" s="296"/>
      <c r="D870" s="296"/>
      <c r="E870" s="296"/>
      <c r="F870" s="296"/>
      <c r="G870" s="297"/>
      <c r="H870" s="303"/>
      <c r="I870" s="298"/>
      <c r="J870" s="298"/>
      <c r="K870" s="299"/>
      <c r="L870" s="304"/>
      <c r="M870" s="300"/>
      <c r="N870" s="301"/>
      <c r="P870" s="193" t="str">
        <f>IF(R870 = "", "", COUNT(R$4:$R870))</f>
        <v/>
      </c>
      <c r="Q870" s="193" t="str">
        <f t="shared" si="131"/>
        <v/>
      </c>
      <c r="R870" s="194" t="str">
        <f t="shared" si="132"/>
        <v/>
      </c>
      <c r="S870" s="195" t="str">
        <f t="shared" si="134"/>
        <v/>
      </c>
      <c r="T870" s="196" t="str">
        <f t="shared" si="135"/>
        <v/>
      </c>
      <c r="U870" s="197" t="str">
        <f t="shared" si="136"/>
        <v/>
      </c>
      <c r="V870" s="198" t="str">
        <f t="shared" si="133"/>
        <v/>
      </c>
      <c r="W870" s="339" t="str">
        <f t="shared" si="137"/>
        <v/>
      </c>
      <c r="X870" s="341" t="str">
        <f t="shared" si="138"/>
        <v/>
      </c>
      <c r="Y870" s="277"/>
      <c r="AR870" t="str">
        <f t="shared" si="139"/>
        <v/>
      </c>
      <c r="AS870" t="str">
        <f t="shared" si="140"/>
        <v/>
      </c>
    </row>
    <row r="871" spans="1:45">
      <c r="A871" s="294"/>
      <c r="B871" s="295"/>
      <c r="C871" s="296"/>
      <c r="D871" s="296"/>
      <c r="E871" s="296"/>
      <c r="F871" s="296"/>
      <c r="G871" s="297"/>
      <c r="H871" s="303"/>
      <c r="I871" s="298"/>
      <c r="J871" s="298"/>
      <c r="K871" s="299"/>
      <c r="L871" s="304"/>
      <c r="M871" s="300"/>
      <c r="N871" s="301"/>
      <c r="P871" s="193" t="str">
        <f>IF(R871 = "", "", COUNT(R$4:$R871))</f>
        <v/>
      </c>
      <c r="Q871" s="193" t="str">
        <f t="shared" si="131"/>
        <v/>
      </c>
      <c r="R871" s="194" t="str">
        <f t="shared" si="132"/>
        <v/>
      </c>
      <c r="S871" s="195" t="str">
        <f t="shared" si="134"/>
        <v/>
      </c>
      <c r="T871" s="196" t="str">
        <f t="shared" si="135"/>
        <v/>
      </c>
      <c r="U871" s="197" t="str">
        <f t="shared" si="136"/>
        <v/>
      </c>
      <c r="V871" s="198" t="str">
        <f t="shared" si="133"/>
        <v/>
      </c>
      <c r="W871" s="339" t="str">
        <f t="shared" si="137"/>
        <v/>
      </c>
      <c r="X871" s="341" t="str">
        <f t="shared" si="138"/>
        <v/>
      </c>
      <c r="Y871" s="277"/>
      <c r="AR871" t="str">
        <f t="shared" si="139"/>
        <v/>
      </c>
      <c r="AS871" t="str">
        <f t="shared" si="140"/>
        <v/>
      </c>
    </row>
    <row r="872" spans="1:45">
      <c r="A872" s="294"/>
      <c r="B872" s="295"/>
      <c r="C872" s="296"/>
      <c r="D872" s="296"/>
      <c r="E872" s="296"/>
      <c r="F872" s="296"/>
      <c r="G872" s="297"/>
      <c r="H872" s="303"/>
      <c r="I872" s="298"/>
      <c r="J872" s="298"/>
      <c r="K872" s="299"/>
      <c r="L872" s="304"/>
      <c r="M872" s="300"/>
      <c r="N872" s="301"/>
      <c r="P872" s="193" t="str">
        <f>IF(R872 = "", "", COUNT(R$4:$R872))</f>
        <v/>
      </c>
      <c r="Q872" s="193" t="str">
        <f t="shared" si="131"/>
        <v/>
      </c>
      <c r="R872" s="194" t="str">
        <f t="shared" si="132"/>
        <v/>
      </c>
      <c r="S872" s="195" t="str">
        <f t="shared" si="134"/>
        <v/>
      </c>
      <c r="T872" s="196" t="str">
        <f t="shared" si="135"/>
        <v/>
      </c>
      <c r="U872" s="197" t="str">
        <f t="shared" si="136"/>
        <v/>
      </c>
      <c r="V872" s="198" t="str">
        <f t="shared" si="133"/>
        <v/>
      </c>
      <c r="W872" s="339" t="str">
        <f t="shared" si="137"/>
        <v/>
      </c>
      <c r="X872" s="341" t="str">
        <f t="shared" si="138"/>
        <v/>
      </c>
      <c r="Y872" s="277"/>
      <c r="AR872" t="str">
        <f t="shared" si="139"/>
        <v/>
      </c>
      <c r="AS872" t="str">
        <f t="shared" si="140"/>
        <v/>
      </c>
    </row>
    <row r="873" spans="1:45">
      <c r="A873" s="294"/>
      <c r="B873" s="295"/>
      <c r="C873" s="296"/>
      <c r="D873" s="296"/>
      <c r="E873" s="296"/>
      <c r="F873" s="296"/>
      <c r="G873" s="297"/>
      <c r="H873" s="303"/>
      <c r="I873" s="298"/>
      <c r="J873" s="298"/>
      <c r="K873" s="299"/>
      <c r="L873" s="304"/>
      <c r="M873" s="300"/>
      <c r="N873" s="301"/>
      <c r="P873" s="193" t="str">
        <f>IF(R873 = "", "", COUNT(R$4:$R873))</f>
        <v/>
      </c>
      <c r="Q873" s="193" t="str">
        <f t="shared" si="131"/>
        <v/>
      </c>
      <c r="R873" s="194" t="str">
        <f t="shared" si="132"/>
        <v/>
      </c>
      <c r="S873" s="195" t="str">
        <f t="shared" si="134"/>
        <v/>
      </c>
      <c r="T873" s="196" t="str">
        <f t="shared" si="135"/>
        <v/>
      </c>
      <c r="U873" s="197" t="str">
        <f t="shared" si="136"/>
        <v/>
      </c>
      <c r="V873" s="198" t="str">
        <f t="shared" si="133"/>
        <v/>
      </c>
      <c r="W873" s="339" t="str">
        <f t="shared" si="137"/>
        <v/>
      </c>
      <c r="X873" s="341" t="str">
        <f t="shared" si="138"/>
        <v/>
      </c>
      <c r="Y873" s="277"/>
      <c r="AR873" t="str">
        <f t="shared" si="139"/>
        <v/>
      </c>
      <c r="AS873" t="str">
        <f t="shared" si="140"/>
        <v/>
      </c>
    </row>
    <row r="874" spans="1:45">
      <c r="A874" s="294"/>
      <c r="B874" s="295"/>
      <c r="C874" s="296"/>
      <c r="D874" s="296"/>
      <c r="E874" s="296"/>
      <c r="F874" s="296"/>
      <c r="G874" s="297"/>
      <c r="H874" s="303"/>
      <c r="I874" s="298"/>
      <c r="J874" s="298"/>
      <c r="K874" s="299"/>
      <c r="L874" s="304"/>
      <c r="M874" s="300"/>
      <c r="N874" s="301"/>
      <c r="P874" s="193" t="str">
        <f>IF(R874 = "", "", COUNT(R$4:$R874))</f>
        <v/>
      </c>
      <c r="Q874" s="193" t="str">
        <f t="shared" si="131"/>
        <v/>
      </c>
      <c r="R874" s="194" t="str">
        <f t="shared" si="132"/>
        <v/>
      </c>
      <c r="S874" s="195" t="str">
        <f t="shared" si="134"/>
        <v/>
      </c>
      <c r="T874" s="196" t="str">
        <f t="shared" si="135"/>
        <v/>
      </c>
      <c r="U874" s="197" t="str">
        <f t="shared" si="136"/>
        <v/>
      </c>
      <c r="V874" s="198" t="str">
        <f t="shared" si="133"/>
        <v/>
      </c>
      <c r="W874" s="339" t="str">
        <f t="shared" si="137"/>
        <v/>
      </c>
      <c r="X874" s="341" t="str">
        <f t="shared" si="138"/>
        <v/>
      </c>
      <c r="Y874" s="277"/>
      <c r="AR874" t="str">
        <f t="shared" si="139"/>
        <v/>
      </c>
      <c r="AS874" t="str">
        <f t="shared" si="140"/>
        <v/>
      </c>
    </row>
    <row r="875" spans="1:45">
      <c r="A875" s="294"/>
      <c r="B875" s="295"/>
      <c r="C875" s="296"/>
      <c r="D875" s="296"/>
      <c r="E875" s="296"/>
      <c r="F875" s="296"/>
      <c r="G875" s="297"/>
      <c r="H875" s="303"/>
      <c r="I875" s="298"/>
      <c r="J875" s="298"/>
      <c r="K875" s="299"/>
      <c r="L875" s="304"/>
      <c r="M875" s="300"/>
      <c r="N875" s="301"/>
      <c r="P875" s="193" t="str">
        <f>IF(R875 = "", "", COUNT(R$4:$R875))</f>
        <v/>
      </c>
      <c r="Q875" s="193" t="str">
        <f t="shared" si="131"/>
        <v/>
      </c>
      <c r="R875" s="194" t="str">
        <f t="shared" si="132"/>
        <v/>
      </c>
      <c r="S875" s="195" t="str">
        <f t="shared" si="134"/>
        <v/>
      </c>
      <c r="T875" s="196" t="str">
        <f t="shared" si="135"/>
        <v/>
      </c>
      <c r="U875" s="197" t="str">
        <f t="shared" si="136"/>
        <v/>
      </c>
      <c r="V875" s="198" t="str">
        <f t="shared" si="133"/>
        <v/>
      </c>
      <c r="W875" s="339" t="str">
        <f t="shared" si="137"/>
        <v/>
      </c>
      <c r="X875" s="341" t="str">
        <f t="shared" si="138"/>
        <v/>
      </c>
      <c r="Y875" s="277"/>
      <c r="AR875" t="str">
        <f t="shared" si="139"/>
        <v/>
      </c>
      <c r="AS875" t="str">
        <f t="shared" si="140"/>
        <v/>
      </c>
    </row>
    <row r="876" spans="1:45">
      <c r="A876" s="294"/>
      <c r="B876" s="295"/>
      <c r="C876" s="296"/>
      <c r="D876" s="296"/>
      <c r="E876" s="296"/>
      <c r="F876" s="296"/>
      <c r="G876" s="297"/>
      <c r="H876" s="303"/>
      <c r="I876" s="298"/>
      <c r="J876" s="298"/>
      <c r="K876" s="299"/>
      <c r="L876" s="304"/>
      <c r="M876" s="300"/>
      <c r="N876" s="301"/>
      <c r="P876" s="193" t="str">
        <f>IF(R876 = "", "", COUNT(R$4:$R876))</f>
        <v/>
      </c>
      <c r="Q876" s="193" t="str">
        <f t="shared" si="131"/>
        <v/>
      </c>
      <c r="R876" s="194" t="str">
        <f t="shared" si="132"/>
        <v/>
      </c>
      <c r="S876" s="195" t="str">
        <f t="shared" si="134"/>
        <v/>
      </c>
      <c r="T876" s="196" t="str">
        <f t="shared" si="135"/>
        <v/>
      </c>
      <c r="U876" s="197" t="str">
        <f t="shared" si="136"/>
        <v/>
      </c>
      <c r="V876" s="198" t="str">
        <f t="shared" si="133"/>
        <v/>
      </c>
      <c r="W876" s="339" t="str">
        <f t="shared" si="137"/>
        <v/>
      </c>
      <c r="X876" s="341" t="str">
        <f t="shared" si="138"/>
        <v/>
      </c>
      <c r="Y876" s="277"/>
      <c r="AR876" t="str">
        <f t="shared" si="139"/>
        <v/>
      </c>
      <c r="AS876" t="str">
        <f t="shared" si="140"/>
        <v/>
      </c>
    </row>
    <row r="877" spans="1:45">
      <c r="A877" s="294"/>
      <c r="B877" s="295"/>
      <c r="C877" s="296"/>
      <c r="D877" s="296"/>
      <c r="E877" s="296"/>
      <c r="F877" s="296"/>
      <c r="G877" s="297"/>
      <c r="H877" s="303"/>
      <c r="I877" s="298"/>
      <c r="J877" s="298"/>
      <c r="K877" s="299"/>
      <c r="L877" s="304"/>
      <c r="M877" s="300"/>
      <c r="N877" s="301"/>
      <c r="P877" s="193" t="str">
        <f>IF(R877 = "", "", COUNT(R$4:$R877))</f>
        <v/>
      </c>
      <c r="Q877" s="193" t="str">
        <f t="shared" si="131"/>
        <v/>
      </c>
      <c r="R877" s="194" t="str">
        <f t="shared" si="132"/>
        <v/>
      </c>
      <c r="S877" s="195" t="str">
        <f t="shared" si="134"/>
        <v/>
      </c>
      <c r="T877" s="196" t="str">
        <f t="shared" si="135"/>
        <v/>
      </c>
      <c r="U877" s="197" t="str">
        <f t="shared" si="136"/>
        <v/>
      </c>
      <c r="V877" s="198" t="str">
        <f t="shared" si="133"/>
        <v/>
      </c>
      <c r="W877" s="339" t="str">
        <f t="shared" si="137"/>
        <v/>
      </c>
      <c r="X877" s="341" t="str">
        <f t="shared" si="138"/>
        <v/>
      </c>
      <c r="Y877" s="277"/>
      <c r="AR877" t="str">
        <f t="shared" si="139"/>
        <v/>
      </c>
      <c r="AS877" t="str">
        <f t="shared" si="140"/>
        <v/>
      </c>
    </row>
    <row r="878" spans="1:45">
      <c r="A878" s="294"/>
      <c r="B878" s="295"/>
      <c r="C878" s="296"/>
      <c r="D878" s="296"/>
      <c r="E878" s="296"/>
      <c r="F878" s="296"/>
      <c r="G878" s="297"/>
      <c r="H878" s="303"/>
      <c r="I878" s="298"/>
      <c r="J878" s="298"/>
      <c r="K878" s="299"/>
      <c r="L878" s="304"/>
      <c r="M878" s="300"/>
      <c r="N878" s="301"/>
      <c r="P878" s="193" t="str">
        <f>IF(R878 = "", "", COUNT(R$4:$R878))</f>
        <v/>
      </c>
      <c r="Q878" s="193" t="str">
        <f t="shared" si="131"/>
        <v/>
      </c>
      <c r="R878" s="194" t="str">
        <f t="shared" si="132"/>
        <v/>
      </c>
      <c r="S878" s="195" t="str">
        <f t="shared" si="134"/>
        <v/>
      </c>
      <c r="T878" s="196" t="str">
        <f t="shared" si="135"/>
        <v/>
      </c>
      <c r="U878" s="197" t="str">
        <f t="shared" si="136"/>
        <v/>
      </c>
      <c r="V878" s="198" t="str">
        <f t="shared" si="133"/>
        <v/>
      </c>
      <c r="W878" s="339" t="str">
        <f t="shared" si="137"/>
        <v/>
      </c>
      <c r="X878" s="341" t="str">
        <f t="shared" si="138"/>
        <v/>
      </c>
      <c r="Y878" s="277"/>
      <c r="AR878" t="str">
        <f t="shared" si="139"/>
        <v/>
      </c>
      <c r="AS878" t="str">
        <f t="shared" si="140"/>
        <v/>
      </c>
    </row>
    <row r="879" spans="1:45">
      <c r="A879" s="294"/>
      <c r="B879" s="295"/>
      <c r="C879" s="296"/>
      <c r="D879" s="296"/>
      <c r="E879" s="296"/>
      <c r="F879" s="296"/>
      <c r="G879" s="297"/>
      <c r="H879" s="303"/>
      <c r="I879" s="298"/>
      <c r="J879" s="298"/>
      <c r="K879" s="299"/>
      <c r="L879" s="304"/>
      <c r="M879" s="300"/>
      <c r="N879" s="301"/>
      <c r="P879" s="193" t="str">
        <f>IF(R879 = "", "", COUNT(R$4:$R879))</f>
        <v/>
      </c>
      <c r="Q879" s="193" t="str">
        <f t="shared" si="131"/>
        <v/>
      </c>
      <c r="R879" s="194" t="str">
        <f t="shared" si="132"/>
        <v/>
      </c>
      <c r="S879" s="195" t="str">
        <f t="shared" si="134"/>
        <v/>
      </c>
      <c r="T879" s="196" t="str">
        <f t="shared" si="135"/>
        <v/>
      </c>
      <c r="U879" s="197" t="str">
        <f t="shared" si="136"/>
        <v/>
      </c>
      <c r="V879" s="198" t="str">
        <f t="shared" si="133"/>
        <v/>
      </c>
      <c r="W879" s="339" t="str">
        <f t="shared" si="137"/>
        <v/>
      </c>
      <c r="X879" s="341" t="str">
        <f t="shared" si="138"/>
        <v/>
      </c>
      <c r="Y879" s="277"/>
      <c r="AR879" t="str">
        <f t="shared" si="139"/>
        <v/>
      </c>
      <c r="AS879" t="str">
        <f t="shared" si="140"/>
        <v/>
      </c>
    </row>
    <row r="880" spans="1:45">
      <c r="A880" s="294"/>
      <c r="B880" s="295"/>
      <c r="C880" s="296"/>
      <c r="D880" s="296"/>
      <c r="E880" s="296"/>
      <c r="F880" s="296"/>
      <c r="G880" s="297"/>
      <c r="H880" s="303"/>
      <c r="I880" s="298"/>
      <c r="J880" s="298"/>
      <c r="K880" s="299"/>
      <c r="L880" s="304"/>
      <c r="M880" s="300"/>
      <c r="N880" s="301"/>
      <c r="P880" s="193" t="str">
        <f>IF(R880 = "", "", COUNT(R$4:$R880))</f>
        <v/>
      </c>
      <c r="Q880" s="193" t="str">
        <f t="shared" si="131"/>
        <v/>
      </c>
      <c r="R880" s="194" t="str">
        <f t="shared" si="132"/>
        <v/>
      </c>
      <c r="S880" s="195" t="str">
        <f t="shared" si="134"/>
        <v/>
      </c>
      <c r="T880" s="196" t="str">
        <f t="shared" si="135"/>
        <v/>
      </c>
      <c r="U880" s="197" t="str">
        <f t="shared" si="136"/>
        <v/>
      </c>
      <c r="V880" s="198" t="str">
        <f t="shared" si="133"/>
        <v/>
      </c>
      <c r="W880" s="339" t="str">
        <f t="shared" si="137"/>
        <v/>
      </c>
      <c r="X880" s="341" t="str">
        <f t="shared" si="138"/>
        <v/>
      </c>
      <c r="Y880" s="277"/>
      <c r="AR880" t="str">
        <f t="shared" si="139"/>
        <v/>
      </c>
      <c r="AS880" t="str">
        <f t="shared" si="140"/>
        <v/>
      </c>
    </row>
    <row r="881" spans="1:45">
      <c r="A881" s="294"/>
      <c r="B881" s="295"/>
      <c r="C881" s="296"/>
      <c r="D881" s="296"/>
      <c r="E881" s="296"/>
      <c r="F881" s="296"/>
      <c r="G881" s="297"/>
      <c r="H881" s="303"/>
      <c r="I881" s="298"/>
      <c r="J881" s="298"/>
      <c r="K881" s="299"/>
      <c r="L881" s="304"/>
      <c r="M881" s="300"/>
      <c r="N881" s="301"/>
      <c r="P881" s="193" t="str">
        <f>IF(R881 = "", "", COUNT(R$4:$R881))</f>
        <v/>
      </c>
      <c r="Q881" s="193" t="str">
        <f t="shared" si="131"/>
        <v/>
      </c>
      <c r="R881" s="194" t="str">
        <f t="shared" si="132"/>
        <v/>
      </c>
      <c r="S881" s="195" t="str">
        <f t="shared" si="134"/>
        <v/>
      </c>
      <c r="T881" s="196" t="str">
        <f t="shared" si="135"/>
        <v/>
      </c>
      <c r="U881" s="197" t="str">
        <f t="shared" si="136"/>
        <v/>
      </c>
      <c r="V881" s="198" t="str">
        <f t="shared" si="133"/>
        <v/>
      </c>
      <c r="W881" s="339" t="str">
        <f t="shared" si="137"/>
        <v/>
      </c>
      <c r="X881" s="341" t="str">
        <f t="shared" si="138"/>
        <v/>
      </c>
      <c r="Y881" s="277"/>
      <c r="AR881" t="str">
        <f t="shared" si="139"/>
        <v/>
      </c>
      <c r="AS881" t="str">
        <f t="shared" si="140"/>
        <v/>
      </c>
    </row>
    <row r="882" spans="1:45">
      <c r="A882" s="294"/>
      <c r="B882" s="295"/>
      <c r="C882" s="296"/>
      <c r="D882" s="296"/>
      <c r="E882" s="296"/>
      <c r="F882" s="296"/>
      <c r="G882" s="297"/>
      <c r="H882" s="303"/>
      <c r="I882" s="298"/>
      <c r="J882" s="298"/>
      <c r="K882" s="299"/>
      <c r="L882" s="304"/>
      <c r="M882" s="300"/>
      <c r="N882" s="301"/>
      <c r="P882" s="193" t="str">
        <f>IF(R882 = "", "", COUNT(R$4:$R882))</f>
        <v/>
      </c>
      <c r="Q882" s="193" t="str">
        <f t="shared" si="131"/>
        <v/>
      </c>
      <c r="R882" s="194" t="str">
        <f t="shared" si="132"/>
        <v/>
      </c>
      <c r="S882" s="195" t="str">
        <f t="shared" si="134"/>
        <v/>
      </c>
      <c r="T882" s="196" t="str">
        <f t="shared" si="135"/>
        <v/>
      </c>
      <c r="U882" s="197" t="str">
        <f t="shared" si="136"/>
        <v/>
      </c>
      <c r="V882" s="198" t="str">
        <f t="shared" si="133"/>
        <v/>
      </c>
      <c r="W882" s="339" t="str">
        <f t="shared" si="137"/>
        <v/>
      </c>
      <c r="X882" s="341" t="str">
        <f t="shared" si="138"/>
        <v/>
      </c>
      <c r="Y882" s="277"/>
      <c r="AR882" t="str">
        <f t="shared" si="139"/>
        <v/>
      </c>
      <c r="AS882" t="str">
        <f t="shared" si="140"/>
        <v/>
      </c>
    </row>
    <row r="883" spans="1:45">
      <c r="A883" s="294"/>
      <c r="B883" s="295"/>
      <c r="C883" s="296"/>
      <c r="D883" s="296"/>
      <c r="E883" s="296"/>
      <c r="F883" s="296"/>
      <c r="G883" s="297"/>
      <c r="H883" s="303"/>
      <c r="I883" s="298"/>
      <c r="J883" s="298"/>
      <c r="K883" s="299"/>
      <c r="L883" s="304"/>
      <c r="M883" s="300"/>
      <c r="N883" s="301"/>
      <c r="P883" s="193" t="str">
        <f>IF(R883 = "", "", COUNT(R$4:$R883))</f>
        <v/>
      </c>
      <c r="Q883" s="193" t="str">
        <f t="shared" si="131"/>
        <v/>
      </c>
      <c r="R883" s="194" t="str">
        <f t="shared" si="132"/>
        <v/>
      </c>
      <c r="S883" s="195" t="str">
        <f t="shared" si="134"/>
        <v/>
      </c>
      <c r="T883" s="196" t="str">
        <f t="shared" si="135"/>
        <v/>
      </c>
      <c r="U883" s="197" t="str">
        <f t="shared" si="136"/>
        <v/>
      </c>
      <c r="V883" s="198" t="str">
        <f t="shared" si="133"/>
        <v/>
      </c>
      <c r="W883" s="339" t="str">
        <f t="shared" si="137"/>
        <v/>
      </c>
      <c r="X883" s="341" t="str">
        <f t="shared" si="138"/>
        <v/>
      </c>
      <c r="Y883" s="277"/>
      <c r="AR883" t="str">
        <f t="shared" si="139"/>
        <v/>
      </c>
      <c r="AS883" t="str">
        <f t="shared" si="140"/>
        <v/>
      </c>
    </row>
    <row r="884" spans="1:45">
      <c r="A884" s="294"/>
      <c r="B884" s="295"/>
      <c r="C884" s="296"/>
      <c r="D884" s="296"/>
      <c r="E884" s="296"/>
      <c r="F884" s="296"/>
      <c r="G884" s="297"/>
      <c r="H884" s="303"/>
      <c r="I884" s="298"/>
      <c r="J884" s="298"/>
      <c r="K884" s="299"/>
      <c r="L884" s="304"/>
      <c r="M884" s="300"/>
      <c r="N884" s="301"/>
      <c r="P884" s="193" t="str">
        <f>IF(R884 = "", "", COUNT(R$4:$R884))</f>
        <v/>
      </c>
      <c r="Q884" s="193" t="str">
        <f t="shared" si="131"/>
        <v/>
      </c>
      <c r="R884" s="194" t="str">
        <f t="shared" si="132"/>
        <v/>
      </c>
      <c r="S884" s="195" t="str">
        <f t="shared" si="134"/>
        <v/>
      </c>
      <c r="T884" s="196" t="str">
        <f t="shared" si="135"/>
        <v/>
      </c>
      <c r="U884" s="197" t="str">
        <f t="shared" si="136"/>
        <v/>
      </c>
      <c r="V884" s="198" t="str">
        <f t="shared" si="133"/>
        <v/>
      </c>
      <c r="W884" s="339" t="str">
        <f t="shared" si="137"/>
        <v/>
      </c>
      <c r="X884" s="341" t="str">
        <f t="shared" si="138"/>
        <v/>
      </c>
      <c r="Y884" s="277"/>
      <c r="AR884" t="str">
        <f t="shared" si="139"/>
        <v/>
      </c>
      <c r="AS884" t="str">
        <f t="shared" si="140"/>
        <v/>
      </c>
    </row>
    <row r="885" spans="1:45">
      <c r="A885" s="294"/>
      <c r="B885" s="295"/>
      <c r="C885" s="296"/>
      <c r="D885" s="296"/>
      <c r="E885" s="296"/>
      <c r="F885" s="296"/>
      <c r="G885" s="297"/>
      <c r="H885" s="303"/>
      <c r="I885" s="298"/>
      <c r="J885" s="298"/>
      <c r="K885" s="299"/>
      <c r="L885" s="304"/>
      <c r="M885" s="300"/>
      <c r="N885" s="301"/>
      <c r="P885" s="193" t="str">
        <f>IF(R885 = "", "", COUNT(R$4:$R885))</f>
        <v/>
      </c>
      <c r="Q885" s="193" t="str">
        <f t="shared" si="131"/>
        <v/>
      </c>
      <c r="R885" s="194" t="str">
        <f t="shared" si="132"/>
        <v/>
      </c>
      <c r="S885" s="195" t="str">
        <f t="shared" si="134"/>
        <v/>
      </c>
      <c r="T885" s="196" t="str">
        <f t="shared" si="135"/>
        <v/>
      </c>
      <c r="U885" s="197" t="str">
        <f t="shared" si="136"/>
        <v/>
      </c>
      <c r="V885" s="198" t="str">
        <f t="shared" si="133"/>
        <v/>
      </c>
      <c r="W885" s="339" t="str">
        <f t="shared" si="137"/>
        <v/>
      </c>
      <c r="X885" s="341" t="str">
        <f t="shared" si="138"/>
        <v/>
      </c>
      <c r="Y885" s="277"/>
      <c r="AR885" t="str">
        <f t="shared" si="139"/>
        <v/>
      </c>
      <c r="AS885" t="str">
        <f t="shared" si="140"/>
        <v/>
      </c>
    </row>
    <row r="886" spans="1:45">
      <c r="A886" s="294"/>
      <c r="B886" s="295"/>
      <c r="C886" s="296"/>
      <c r="D886" s="296"/>
      <c r="E886" s="296"/>
      <c r="F886" s="296"/>
      <c r="G886" s="297"/>
      <c r="H886" s="303"/>
      <c r="I886" s="298"/>
      <c r="J886" s="298"/>
      <c r="K886" s="299"/>
      <c r="L886" s="304"/>
      <c r="M886" s="300"/>
      <c r="N886" s="301"/>
      <c r="P886" s="193" t="str">
        <f>IF(R886 = "", "", COUNT(R$4:$R886))</f>
        <v/>
      </c>
      <c r="Q886" s="193" t="str">
        <f t="shared" si="131"/>
        <v/>
      </c>
      <c r="R886" s="194" t="str">
        <f t="shared" si="132"/>
        <v/>
      </c>
      <c r="S886" s="195" t="str">
        <f t="shared" si="134"/>
        <v/>
      </c>
      <c r="T886" s="196" t="str">
        <f t="shared" si="135"/>
        <v/>
      </c>
      <c r="U886" s="197" t="str">
        <f t="shared" si="136"/>
        <v/>
      </c>
      <c r="V886" s="198" t="str">
        <f t="shared" si="133"/>
        <v/>
      </c>
      <c r="W886" s="339" t="str">
        <f t="shared" si="137"/>
        <v/>
      </c>
      <c r="X886" s="341" t="str">
        <f t="shared" si="138"/>
        <v/>
      </c>
      <c r="Y886" s="277"/>
      <c r="AR886" t="str">
        <f t="shared" si="139"/>
        <v/>
      </c>
      <c r="AS886" t="str">
        <f t="shared" si="140"/>
        <v/>
      </c>
    </row>
    <row r="887" spans="1:45">
      <c r="A887" s="294"/>
      <c r="B887" s="295"/>
      <c r="C887" s="296"/>
      <c r="D887" s="296"/>
      <c r="E887" s="296"/>
      <c r="F887" s="296"/>
      <c r="G887" s="297"/>
      <c r="H887" s="303"/>
      <c r="I887" s="298"/>
      <c r="J887" s="298"/>
      <c r="K887" s="299"/>
      <c r="L887" s="304"/>
      <c r="M887" s="300"/>
      <c r="N887" s="301"/>
      <c r="P887" s="193" t="str">
        <f>IF(R887 = "", "", COUNT(R$4:$R887))</f>
        <v/>
      </c>
      <c r="Q887" s="193" t="str">
        <f t="shared" si="131"/>
        <v/>
      </c>
      <c r="R887" s="194" t="str">
        <f t="shared" si="132"/>
        <v/>
      </c>
      <c r="S887" s="195" t="str">
        <f t="shared" si="134"/>
        <v/>
      </c>
      <c r="T887" s="196" t="str">
        <f t="shared" si="135"/>
        <v/>
      </c>
      <c r="U887" s="197" t="str">
        <f t="shared" si="136"/>
        <v/>
      </c>
      <c r="V887" s="198" t="str">
        <f t="shared" si="133"/>
        <v/>
      </c>
      <c r="W887" s="339" t="str">
        <f t="shared" si="137"/>
        <v/>
      </c>
      <c r="X887" s="341" t="str">
        <f t="shared" si="138"/>
        <v/>
      </c>
      <c r="Y887" s="277"/>
      <c r="AR887" t="str">
        <f t="shared" si="139"/>
        <v/>
      </c>
      <c r="AS887" t="str">
        <f t="shared" si="140"/>
        <v/>
      </c>
    </row>
    <row r="888" spans="1:45">
      <c r="A888" s="294"/>
      <c r="B888" s="295"/>
      <c r="C888" s="296"/>
      <c r="D888" s="296"/>
      <c r="E888" s="296"/>
      <c r="F888" s="296"/>
      <c r="G888" s="297"/>
      <c r="H888" s="303"/>
      <c r="I888" s="298"/>
      <c r="J888" s="298"/>
      <c r="K888" s="299"/>
      <c r="L888" s="304"/>
      <c r="M888" s="300"/>
      <c r="N888" s="301"/>
      <c r="P888" s="193" t="str">
        <f>IF(R888 = "", "", COUNT(R$4:$R888))</f>
        <v/>
      </c>
      <c r="Q888" s="193" t="str">
        <f t="shared" si="131"/>
        <v/>
      </c>
      <c r="R888" s="194" t="str">
        <f t="shared" si="132"/>
        <v/>
      </c>
      <c r="S888" s="195" t="str">
        <f t="shared" si="134"/>
        <v/>
      </c>
      <c r="T888" s="196" t="str">
        <f t="shared" si="135"/>
        <v/>
      </c>
      <c r="U888" s="197" t="str">
        <f t="shared" si="136"/>
        <v/>
      </c>
      <c r="V888" s="198" t="str">
        <f t="shared" si="133"/>
        <v/>
      </c>
      <c r="W888" s="339" t="str">
        <f t="shared" si="137"/>
        <v/>
      </c>
      <c r="X888" s="341" t="str">
        <f t="shared" si="138"/>
        <v/>
      </c>
      <c r="Y888" s="277"/>
      <c r="AR888" t="str">
        <f t="shared" si="139"/>
        <v/>
      </c>
      <c r="AS888" t="str">
        <f t="shared" si="140"/>
        <v/>
      </c>
    </row>
    <row r="889" spans="1:45">
      <c r="A889" s="294"/>
      <c r="B889" s="295"/>
      <c r="C889" s="296"/>
      <c r="D889" s="296"/>
      <c r="E889" s="296"/>
      <c r="F889" s="296"/>
      <c r="G889" s="297"/>
      <c r="H889" s="303"/>
      <c r="I889" s="298"/>
      <c r="J889" s="298"/>
      <c r="K889" s="299"/>
      <c r="L889" s="304"/>
      <c r="M889" s="300"/>
      <c r="N889" s="301"/>
      <c r="P889" s="193" t="str">
        <f>IF(R889 = "", "", COUNT(R$4:$R889))</f>
        <v/>
      </c>
      <c r="Q889" s="193" t="str">
        <f t="shared" si="131"/>
        <v/>
      </c>
      <c r="R889" s="194" t="str">
        <f t="shared" si="132"/>
        <v/>
      </c>
      <c r="S889" s="195" t="str">
        <f t="shared" si="134"/>
        <v/>
      </c>
      <c r="T889" s="196" t="str">
        <f t="shared" si="135"/>
        <v/>
      </c>
      <c r="U889" s="197" t="str">
        <f t="shared" si="136"/>
        <v/>
      </c>
      <c r="V889" s="198" t="str">
        <f t="shared" si="133"/>
        <v/>
      </c>
      <c r="W889" s="339" t="str">
        <f t="shared" si="137"/>
        <v/>
      </c>
      <c r="X889" s="341" t="str">
        <f t="shared" si="138"/>
        <v/>
      </c>
      <c r="Y889" s="277"/>
      <c r="AR889" t="str">
        <f t="shared" si="139"/>
        <v/>
      </c>
      <c r="AS889" t="str">
        <f t="shared" si="140"/>
        <v/>
      </c>
    </row>
    <row r="890" spans="1:45">
      <c r="A890" s="294"/>
      <c r="B890" s="295"/>
      <c r="C890" s="296"/>
      <c r="D890" s="296"/>
      <c r="E890" s="296"/>
      <c r="F890" s="296"/>
      <c r="G890" s="297"/>
      <c r="H890" s="303"/>
      <c r="I890" s="298"/>
      <c r="J890" s="298"/>
      <c r="K890" s="299"/>
      <c r="L890" s="304"/>
      <c r="M890" s="300"/>
      <c r="N890" s="301"/>
      <c r="P890" s="193" t="str">
        <f>IF(R890 = "", "", COUNT(R$4:$R890))</f>
        <v/>
      </c>
      <c r="Q890" s="193" t="str">
        <f t="shared" si="131"/>
        <v/>
      </c>
      <c r="R890" s="194" t="str">
        <f t="shared" si="132"/>
        <v/>
      </c>
      <c r="S890" s="195" t="str">
        <f t="shared" si="134"/>
        <v/>
      </c>
      <c r="T890" s="196" t="str">
        <f t="shared" si="135"/>
        <v/>
      </c>
      <c r="U890" s="197" t="str">
        <f t="shared" si="136"/>
        <v/>
      </c>
      <c r="V890" s="198" t="str">
        <f t="shared" si="133"/>
        <v/>
      </c>
      <c r="W890" s="339" t="str">
        <f t="shared" si="137"/>
        <v/>
      </c>
      <c r="X890" s="341" t="str">
        <f t="shared" si="138"/>
        <v/>
      </c>
      <c r="Y890" s="277"/>
      <c r="AR890" t="str">
        <f t="shared" si="139"/>
        <v/>
      </c>
      <c r="AS890" t="str">
        <f t="shared" si="140"/>
        <v/>
      </c>
    </row>
    <row r="891" spans="1:45">
      <c r="A891" s="294"/>
      <c r="B891" s="295"/>
      <c r="C891" s="296"/>
      <c r="D891" s="296"/>
      <c r="E891" s="296"/>
      <c r="F891" s="296"/>
      <c r="G891" s="297"/>
      <c r="H891" s="303"/>
      <c r="I891" s="298"/>
      <c r="J891" s="298"/>
      <c r="K891" s="299"/>
      <c r="L891" s="304"/>
      <c r="M891" s="300"/>
      <c r="N891" s="301"/>
      <c r="P891" s="193" t="str">
        <f>IF(R891 = "", "", COUNT(R$4:$R891))</f>
        <v/>
      </c>
      <c r="Q891" s="193" t="str">
        <f t="shared" si="131"/>
        <v/>
      </c>
      <c r="R891" s="194" t="str">
        <f t="shared" si="132"/>
        <v/>
      </c>
      <c r="S891" s="195" t="str">
        <f t="shared" si="134"/>
        <v/>
      </c>
      <c r="T891" s="196" t="str">
        <f t="shared" si="135"/>
        <v/>
      </c>
      <c r="U891" s="197" t="str">
        <f t="shared" si="136"/>
        <v/>
      </c>
      <c r="V891" s="198" t="str">
        <f t="shared" si="133"/>
        <v/>
      </c>
      <c r="W891" s="339" t="str">
        <f t="shared" si="137"/>
        <v/>
      </c>
      <c r="X891" s="341" t="str">
        <f t="shared" si="138"/>
        <v/>
      </c>
      <c r="Y891" s="277"/>
      <c r="AR891" t="str">
        <f t="shared" si="139"/>
        <v/>
      </c>
      <c r="AS891" t="str">
        <f t="shared" si="140"/>
        <v/>
      </c>
    </row>
    <row r="892" spans="1:45">
      <c r="A892" s="294"/>
      <c r="B892" s="295"/>
      <c r="C892" s="296"/>
      <c r="D892" s="296"/>
      <c r="E892" s="296"/>
      <c r="F892" s="296"/>
      <c r="G892" s="297"/>
      <c r="H892" s="303"/>
      <c r="I892" s="298"/>
      <c r="J892" s="298"/>
      <c r="K892" s="299"/>
      <c r="L892" s="304"/>
      <c r="M892" s="300"/>
      <c r="N892" s="301"/>
      <c r="P892" s="193" t="str">
        <f>IF(R892 = "", "", COUNT(R$4:$R892))</f>
        <v/>
      </c>
      <c r="Q892" s="193" t="str">
        <f t="shared" si="131"/>
        <v/>
      </c>
      <c r="R892" s="194" t="str">
        <f t="shared" si="132"/>
        <v/>
      </c>
      <c r="S892" s="195" t="str">
        <f t="shared" si="134"/>
        <v/>
      </c>
      <c r="T892" s="196" t="str">
        <f t="shared" si="135"/>
        <v/>
      </c>
      <c r="U892" s="197" t="str">
        <f t="shared" si="136"/>
        <v/>
      </c>
      <c r="V892" s="198" t="str">
        <f t="shared" si="133"/>
        <v/>
      </c>
      <c r="W892" s="339" t="str">
        <f t="shared" si="137"/>
        <v/>
      </c>
      <c r="X892" s="341" t="str">
        <f t="shared" si="138"/>
        <v/>
      </c>
      <c r="Y892" s="277"/>
      <c r="AR892" t="str">
        <f t="shared" si="139"/>
        <v/>
      </c>
      <c r="AS892" t="str">
        <f t="shared" si="140"/>
        <v/>
      </c>
    </row>
    <row r="893" spans="1:45">
      <c r="A893" s="294"/>
      <c r="B893" s="295"/>
      <c r="C893" s="296"/>
      <c r="D893" s="296"/>
      <c r="E893" s="296"/>
      <c r="F893" s="296"/>
      <c r="G893" s="297"/>
      <c r="H893" s="303"/>
      <c r="I893" s="298"/>
      <c r="J893" s="298"/>
      <c r="K893" s="299"/>
      <c r="L893" s="304"/>
      <c r="M893" s="300"/>
      <c r="N893" s="301"/>
      <c r="P893" s="193" t="str">
        <f>IF(R893 = "", "", COUNT(R$4:$R893))</f>
        <v/>
      </c>
      <c r="Q893" s="193" t="str">
        <f t="shared" si="131"/>
        <v/>
      </c>
      <c r="R893" s="194" t="str">
        <f t="shared" si="132"/>
        <v/>
      </c>
      <c r="S893" s="195" t="str">
        <f t="shared" si="134"/>
        <v/>
      </c>
      <c r="T893" s="196" t="str">
        <f t="shared" si="135"/>
        <v/>
      </c>
      <c r="U893" s="197" t="str">
        <f t="shared" si="136"/>
        <v/>
      </c>
      <c r="V893" s="198" t="str">
        <f t="shared" si="133"/>
        <v/>
      </c>
      <c r="W893" s="339" t="str">
        <f t="shared" si="137"/>
        <v/>
      </c>
      <c r="X893" s="341" t="str">
        <f t="shared" si="138"/>
        <v/>
      </c>
      <c r="Y893" s="277"/>
      <c r="AR893" t="str">
        <f t="shared" si="139"/>
        <v/>
      </c>
      <c r="AS893" t="str">
        <f t="shared" si="140"/>
        <v/>
      </c>
    </row>
    <row r="894" spans="1:45">
      <c r="A894" s="294"/>
      <c r="B894" s="295"/>
      <c r="C894" s="296"/>
      <c r="D894" s="296"/>
      <c r="E894" s="296"/>
      <c r="F894" s="296"/>
      <c r="G894" s="297"/>
      <c r="H894" s="303"/>
      <c r="I894" s="298"/>
      <c r="J894" s="298"/>
      <c r="K894" s="299"/>
      <c r="L894" s="304"/>
      <c r="M894" s="300"/>
      <c r="N894" s="301"/>
      <c r="P894" s="193" t="str">
        <f>IF(R894 = "", "", COUNT(R$4:$R894))</f>
        <v/>
      </c>
      <c r="Q894" s="193" t="str">
        <f t="shared" si="131"/>
        <v/>
      </c>
      <c r="R894" s="194" t="str">
        <f t="shared" si="132"/>
        <v/>
      </c>
      <c r="S894" s="195" t="str">
        <f t="shared" si="134"/>
        <v/>
      </c>
      <c r="T894" s="196" t="str">
        <f t="shared" si="135"/>
        <v/>
      </c>
      <c r="U894" s="197" t="str">
        <f t="shared" si="136"/>
        <v/>
      </c>
      <c r="V894" s="198" t="str">
        <f t="shared" si="133"/>
        <v/>
      </c>
      <c r="W894" s="339" t="str">
        <f t="shared" si="137"/>
        <v/>
      </c>
      <c r="X894" s="341" t="str">
        <f t="shared" si="138"/>
        <v/>
      </c>
      <c r="Y894" s="277"/>
      <c r="AR894" t="str">
        <f t="shared" si="139"/>
        <v/>
      </c>
      <c r="AS894" t="str">
        <f t="shared" si="140"/>
        <v/>
      </c>
    </row>
    <row r="895" spans="1:45">
      <c r="A895" s="294"/>
      <c r="B895" s="295"/>
      <c r="C895" s="296"/>
      <c r="D895" s="296"/>
      <c r="E895" s="296"/>
      <c r="F895" s="296"/>
      <c r="G895" s="297"/>
      <c r="H895" s="303"/>
      <c r="I895" s="298"/>
      <c r="J895" s="298"/>
      <c r="K895" s="299"/>
      <c r="L895" s="304"/>
      <c r="M895" s="300"/>
      <c r="N895" s="301"/>
      <c r="P895" s="193" t="str">
        <f>IF(R895 = "", "", COUNT(R$4:$R895))</f>
        <v/>
      </c>
      <c r="Q895" s="193" t="str">
        <f t="shared" si="131"/>
        <v/>
      </c>
      <c r="R895" s="194" t="str">
        <f t="shared" si="132"/>
        <v/>
      </c>
      <c r="S895" s="195" t="str">
        <f t="shared" si="134"/>
        <v/>
      </c>
      <c r="T895" s="196" t="str">
        <f t="shared" si="135"/>
        <v/>
      </c>
      <c r="U895" s="197" t="str">
        <f t="shared" si="136"/>
        <v/>
      </c>
      <c r="V895" s="198" t="str">
        <f t="shared" si="133"/>
        <v/>
      </c>
      <c r="W895" s="339" t="str">
        <f t="shared" si="137"/>
        <v/>
      </c>
      <c r="X895" s="341" t="str">
        <f t="shared" si="138"/>
        <v/>
      </c>
      <c r="Y895" s="277"/>
      <c r="AR895" t="str">
        <f t="shared" si="139"/>
        <v/>
      </c>
      <c r="AS895" t="str">
        <f t="shared" si="140"/>
        <v/>
      </c>
    </row>
    <row r="896" spans="1:45">
      <c r="A896" s="294"/>
      <c r="B896" s="295"/>
      <c r="C896" s="296"/>
      <c r="D896" s="296"/>
      <c r="E896" s="296"/>
      <c r="F896" s="296"/>
      <c r="G896" s="297"/>
      <c r="H896" s="303"/>
      <c r="I896" s="298"/>
      <c r="J896" s="298"/>
      <c r="K896" s="299"/>
      <c r="L896" s="304"/>
      <c r="M896" s="300"/>
      <c r="N896" s="301"/>
      <c r="P896" s="193" t="str">
        <f>IF(R896 = "", "", COUNT(R$4:$R896))</f>
        <v/>
      </c>
      <c r="Q896" s="193" t="str">
        <f t="shared" si="131"/>
        <v/>
      </c>
      <c r="R896" s="194" t="str">
        <f t="shared" si="132"/>
        <v/>
      </c>
      <c r="S896" s="195" t="str">
        <f t="shared" si="134"/>
        <v/>
      </c>
      <c r="T896" s="196" t="str">
        <f t="shared" si="135"/>
        <v/>
      </c>
      <c r="U896" s="197" t="str">
        <f t="shared" si="136"/>
        <v/>
      </c>
      <c r="V896" s="198" t="str">
        <f t="shared" si="133"/>
        <v/>
      </c>
      <c r="W896" s="339" t="str">
        <f t="shared" si="137"/>
        <v/>
      </c>
      <c r="X896" s="341" t="str">
        <f t="shared" si="138"/>
        <v/>
      </c>
      <c r="Y896" s="277"/>
      <c r="AR896" t="str">
        <f t="shared" si="139"/>
        <v/>
      </c>
      <c r="AS896" t="str">
        <f t="shared" si="140"/>
        <v/>
      </c>
    </row>
    <row r="897" spans="1:45">
      <c r="A897" s="294"/>
      <c r="B897" s="295"/>
      <c r="C897" s="296"/>
      <c r="D897" s="296"/>
      <c r="E897" s="296"/>
      <c r="F897" s="296"/>
      <c r="G897" s="297"/>
      <c r="H897" s="303"/>
      <c r="I897" s="298"/>
      <c r="J897" s="298"/>
      <c r="K897" s="299"/>
      <c r="L897" s="304"/>
      <c r="M897" s="300"/>
      <c r="N897" s="301"/>
      <c r="P897" s="193" t="str">
        <f>IF(R897 = "", "", COUNT(R$4:$R897))</f>
        <v/>
      </c>
      <c r="Q897" s="193" t="str">
        <f t="shared" si="131"/>
        <v/>
      </c>
      <c r="R897" s="194" t="str">
        <f t="shared" si="132"/>
        <v/>
      </c>
      <c r="S897" s="195" t="str">
        <f t="shared" si="134"/>
        <v/>
      </c>
      <c r="T897" s="196" t="str">
        <f t="shared" si="135"/>
        <v/>
      </c>
      <c r="U897" s="197" t="str">
        <f t="shared" si="136"/>
        <v/>
      </c>
      <c r="V897" s="198" t="str">
        <f t="shared" si="133"/>
        <v/>
      </c>
      <c r="W897" s="339" t="str">
        <f t="shared" si="137"/>
        <v/>
      </c>
      <c r="X897" s="341" t="str">
        <f t="shared" si="138"/>
        <v/>
      </c>
      <c r="Y897" s="277"/>
      <c r="AR897" t="str">
        <f t="shared" si="139"/>
        <v/>
      </c>
      <c r="AS897" t="str">
        <f t="shared" si="140"/>
        <v/>
      </c>
    </row>
    <row r="898" spans="1:45">
      <c r="A898" s="294"/>
      <c r="B898" s="295"/>
      <c r="C898" s="296"/>
      <c r="D898" s="296"/>
      <c r="E898" s="296"/>
      <c r="F898" s="296"/>
      <c r="G898" s="297"/>
      <c r="H898" s="303"/>
      <c r="I898" s="298"/>
      <c r="J898" s="298"/>
      <c r="K898" s="299"/>
      <c r="L898" s="304"/>
      <c r="M898" s="300"/>
      <c r="N898" s="301"/>
      <c r="P898" s="193" t="str">
        <f>IF(R898 = "", "", COUNT(R$4:$R898))</f>
        <v/>
      </c>
      <c r="Q898" s="193" t="str">
        <f t="shared" si="131"/>
        <v/>
      </c>
      <c r="R898" s="194" t="str">
        <f t="shared" si="132"/>
        <v/>
      </c>
      <c r="S898" s="195" t="str">
        <f t="shared" si="134"/>
        <v/>
      </c>
      <c r="T898" s="196" t="str">
        <f t="shared" si="135"/>
        <v/>
      </c>
      <c r="U898" s="197" t="str">
        <f t="shared" si="136"/>
        <v/>
      </c>
      <c r="V898" s="198" t="str">
        <f t="shared" si="133"/>
        <v/>
      </c>
      <c r="W898" s="339" t="str">
        <f t="shared" si="137"/>
        <v/>
      </c>
      <c r="X898" s="341" t="str">
        <f t="shared" si="138"/>
        <v/>
      </c>
      <c r="Y898" s="277"/>
      <c r="AR898" t="str">
        <f t="shared" si="139"/>
        <v/>
      </c>
      <c r="AS898" t="str">
        <f t="shared" si="140"/>
        <v/>
      </c>
    </row>
    <row r="899" spans="1:45">
      <c r="A899" s="294"/>
      <c r="B899" s="295"/>
      <c r="C899" s="296"/>
      <c r="D899" s="296"/>
      <c r="E899" s="296"/>
      <c r="F899" s="296"/>
      <c r="G899" s="297"/>
      <c r="H899" s="303"/>
      <c r="I899" s="298"/>
      <c r="J899" s="298"/>
      <c r="K899" s="299"/>
      <c r="L899" s="304"/>
      <c r="M899" s="300"/>
      <c r="N899" s="301"/>
      <c r="P899" s="193" t="str">
        <f>IF(R899 = "", "", COUNT(R$4:$R899))</f>
        <v/>
      </c>
      <c r="Q899" s="193" t="str">
        <f t="shared" si="131"/>
        <v/>
      </c>
      <c r="R899" s="194" t="str">
        <f t="shared" si="132"/>
        <v/>
      </c>
      <c r="S899" s="195" t="str">
        <f t="shared" si="134"/>
        <v/>
      </c>
      <c r="T899" s="196" t="str">
        <f t="shared" si="135"/>
        <v/>
      </c>
      <c r="U899" s="197" t="str">
        <f t="shared" si="136"/>
        <v/>
      </c>
      <c r="V899" s="198" t="str">
        <f t="shared" si="133"/>
        <v/>
      </c>
      <c r="W899" s="339" t="str">
        <f t="shared" si="137"/>
        <v/>
      </c>
      <c r="X899" s="341" t="str">
        <f t="shared" si="138"/>
        <v/>
      </c>
      <c r="Y899" s="277"/>
      <c r="AR899" t="str">
        <f t="shared" si="139"/>
        <v/>
      </c>
      <c r="AS899" t="str">
        <f t="shared" si="140"/>
        <v/>
      </c>
    </row>
    <row r="900" spans="1:45">
      <c r="A900" s="294"/>
      <c r="B900" s="295"/>
      <c r="C900" s="296"/>
      <c r="D900" s="296"/>
      <c r="E900" s="296"/>
      <c r="F900" s="296"/>
      <c r="G900" s="297"/>
      <c r="H900" s="303"/>
      <c r="I900" s="298"/>
      <c r="J900" s="298"/>
      <c r="K900" s="299"/>
      <c r="L900" s="304"/>
      <c r="M900" s="300"/>
      <c r="N900" s="301"/>
      <c r="P900" s="193" t="str">
        <f>IF(R900 = "", "", COUNT(R$4:$R900))</f>
        <v/>
      </c>
      <c r="Q900" s="193" t="str">
        <f t="shared" ref="Q900:Q963" si="141">IF(C900 &gt; 0, YEAR(B900), "")</f>
        <v/>
      </c>
      <c r="R900" s="194" t="str">
        <f t="shared" ref="R900:R963" si="142">IF(A900="", "", IF(G900="",1,IF(G900="O",1,IF(G900="C",8.4,IF(G900="B",8.4,IF(G900="A",76.8,IF(G900="K",76.8,"ERR")))))))</f>
        <v/>
      </c>
      <c r="S900" s="195" t="str">
        <f t="shared" si="134"/>
        <v/>
      </c>
      <c r="T900" s="196" t="str">
        <f t="shared" si="135"/>
        <v/>
      </c>
      <c r="U900" s="197" t="str">
        <f t="shared" si="136"/>
        <v/>
      </c>
      <c r="V900" s="198" t="str">
        <f t="shared" ref="V900:V963" si="143">IF(IF(M900&lt;&gt;"",G900,"")=0, "O", IF(M900&lt;&gt;"",G900,""))</f>
        <v/>
      </c>
      <c r="W900" s="339" t="str">
        <f t="shared" si="137"/>
        <v/>
      </c>
      <c r="X900" s="341" t="str">
        <f t="shared" si="138"/>
        <v/>
      </c>
      <c r="Y900" s="277"/>
      <c r="AR900" t="str">
        <f t="shared" si="139"/>
        <v/>
      </c>
      <c r="AS900" t="str">
        <f t="shared" si="140"/>
        <v/>
      </c>
    </row>
    <row r="901" spans="1:45">
      <c r="A901" s="294"/>
      <c r="B901" s="295"/>
      <c r="C901" s="296"/>
      <c r="D901" s="296"/>
      <c r="E901" s="296"/>
      <c r="F901" s="296"/>
      <c r="G901" s="297"/>
      <c r="H901" s="303"/>
      <c r="I901" s="298"/>
      <c r="J901" s="298"/>
      <c r="K901" s="299"/>
      <c r="L901" s="304"/>
      <c r="M901" s="300"/>
      <c r="N901" s="301"/>
      <c r="P901" s="193" t="str">
        <f>IF(R901 = "", "", COUNT(R$4:$R901))</f>
        <v/>
      </c>
      <c r="Q901" s="193" t="str">
        <f t="shared" si="141"/>
        <v/>
      </c>
      <c r="R901" s="194" t="str">
        <f t="shared" si="142"/>
        <v/>
      </c>
      <c r="S901" s="195" t="str">
        <f t="shared" ref="S901:S964" si="144">IF(L901&lt;&gt;"",R901,"")</f>
        <v/>
      </c>
      <c r="T901" s="196" t="str">
        <f t="shared" ref="T901:T964" si="145">IF(IF(L901&lt;&gt;"",G901,"")=0, "O", IF(L901&lt;&gt;"",G901,""))</f>
        <v/>
      </c>
      <c r="U901" s="197" t="str">
        <f t="shared" ref="U901:U964" si="146">IF(M901&lt;&gt;"",R901,"")</f>
        <v/>
      </c>
      <c r="V901" s="198" t="str">
        <f t="shared" si="143"/>
        <v/>
      </c>
      <c r="W901" s="339" t="str">
        <f t="shared" ref="W901:W964" si="147">IF(N901&lt;&gt;"",R901,"")</f>
        <v/>
      </c>
      <c r="X901" s="341" t="str">
        <f t="shared" ref="X901:X964" si="148">IF(IF(N901&lt;&gt;"",G901,"")=0, "O", IF(N901&lt;&gt;"",G901,""))</f>
        <v/>
      </c>
      <c r="Y901" s="277"/>
      <c r="AR901" t="str">
        <f t="shared" ref="AR901:AR964" si="149">IF(P901&gt;0, P901, "")</f>
        <v/>
      </c>
      <c r="AS901" t="str">
        <f t="shared" ref="AS901:AS964" si="150">IF(OR(L901="Y",M901="Y",N901="Y"),"Y","")</f>
        <v/>
      </c>
    </row>
    <row r="902" spans="1:45">
      <c r="A902" s="294"/>
      <c r="B902" s="295"/>
      <c r="C902" s="296"/>
      <c r="D902" s="296"/>
      <c r="E902" s="296"/>
      <c r="F902" s="296"/>
      <c r="G902" s="297"/>
      <c r="H902" s="303"/>
      <c r="I902" s="298"/>
      <c r="J902" s="298"/>
      <c r="K902" s="299"/>
      <c r="L902" s="304"/>
      <c r="M902" s="300"/>
      <c r="N902" s="301"/>
      <c r="P902" s="193" t="str">
        <f>IF(R902 = "", "", COUNT(R$4:$R902))</f>
        <v/>
      </c>
      <c r="Q902" s="193" t="str">
        <f t="shared" si="141"/>
        <v/>
      </c>
      <c r="R902" s="194" t="str">
        <f t="shared" si="142"/>
        <v/>
      </c>
      <c r="S902" s="195" t="str">
        <f t="shared" si="144"/>
        <v/>
      </c>
      <c r="T902" s="196" t="str">
        <f t="shared" si="145"/>
        <v/>
      </c>
      <c r="U902" s="197" t="str">
        <f t="shared" si="146"/>
        <v/>
      </c>
      <c r="V902" s="198" t="str">
        <f t="shared" si="143"/>
        <v/>
      </c>
      <c r="W902" s="339" t="str">
        <f t="shared" si="147"/>
        <v/>
      </c>
      <c r="X902" s="341" t="str">
        <f t="shared" si="148"/>
        <v/>
      </c>
      <c r="Y902" s="277"/>
      <c r="AR902" t="str">
        <f t="shared" si="149"/>
        <v/>
      </c>
      <c r="AS902" t="str">
        <f t="shared" si="150"/>
        <v/>
      </c>
    </row>
    <row r="903" spans="1:45">
      <c r="A903" s="294"/>
      <c r="B903" s="295"/>
      <c r="C903" s="296"/>
      <c r="D903" s="296"/>
      <c r="E903" s="296"/>
      <c r="F903" s="296"/>
      <c r="G903" s="297"/>
      <c r="H903" s="303"/>
      <c r="I903" s="298"/>
      <c r="J903" s="298"/>
      <c r="K903" s="299"/>
      <c r="L903" s="304"/>
      <c r="M903" s="300"/>
      <c r="N903" s="301"/>
      <c r="P903" s="193" t="str">
        <f>IF(R903 = "", "", COUNT(R$4:$R903))</f>
        <v/>
      </c>
      <c r="Q903" s="193" t="str">
        <f t="shared" si="141"/>
        <v/>
      </c>
      <c r="R903" s="194" t="str">
        <f t="shared" si="142"/>
        <v/>
      </c>
      <c r="S903" s="195" t="str">
        <f t="shared" si="144"/>
        <v/>
      </c>
      <c r="T903" s="196" t="str">
        <f t="shared" si="145"/>
        <v/>
      </c>
      <c r="U903" s="197" t="str">
        <f t="shared" si="146"/>
        <v/>
      </c>
      <c r="V903" s="198" t="str">
        <f t="shared" si="143"/>
        <v/>
      </c>
      <c r="W903" s="339" t="str">
        <f t="shared" si="147"/>
        <v/>
      </c>
      <c r="X903" s="341" t="str">
        <f t="shared" si="148"/>
        <v/>
      </c>
      <c r="Y903" s="277"/>
      <c r="AR903" t="str">
        <f t="shared" si="149"/>
        <v/>
      </c>
      <c r="AS903" t="str">
        <f t="shared" si="150"/>
        <v/>
      </c>
    </row>
    <row r="904" spans="1:45">
      <c r="A904" s="294"/>
      <c r="B904" s="295"/>
      <c r="C904" s="296"/>
      <c r="D904" s="296"/>
      <c r="E904" s="296"/>
      <c r="F904" s="296"/>
      <c r="G904" s="297"/>
      <c r="H904" s="303"/>
      <c r="I904" s="298"/>
      <c r="J904" s="298"/>
      <c r="K904" s="299"/>
      <c r="L904" s="304"/>
      <c r="M904" s="300"/>
      <c r="N904" s="301"/>
      <c r="P904" s="193" t="str">
        <f>IF(R904 = "", "", COUNT(R$4:$R904))</f>
        <v/>
      </c>
      <c r="Q904" s="193" t="str">
        <f t="shared" si="141"/>
        <v/>
      </c>
      <c r="R904" s="194" t="str">
        <f t="shared" si="142"/>
        <v/>
      </c>
      <c r="S904" s="195" t="str">
        <f t="shared" si="144"/>
        <v/>
      </c>
      <c r="T904" s="196" t="str">
        <f t="shared" si="145"/>
        <v/>
      </c>
      <c r="U904" s="197" t="str">
        <f t="shared" si="146"/>
        <v/>
      </c>
      <c r="V904" s="198" t="str">
        <f t="shared" si="143"/>
        <v/>
      </c>
      <c r="W904" s="339" t="str">
        <f t="shared" si="147"/>
        <v/>
      </c>
      <c r="X904" s="341" t="str">
        <f t="shared" si="148"/>
        <v/>
      </c>
      <c r="Y904" s="277"/>
      <c r="AR904" t="str">
        <f t="shared" si="149"/>
        <v/>
      </c>
      <c r="AS904" t="str">
        <f t="shared" si="150"/>
        <v/>
      </c>
    </row>
    <row r="905" spans="1:45">
      <c r="A905" s="294"/>
      <c r="B905" s="295"/>
      <c r="C905" s="296"/>
      <c r="D905" s="296"/>
      <c r="E905" s="296"/>
      <c r="F905" s="296"/>
      <c r="G905" s="297"/>
      <c r="H905" s="303"/>
      <c r="I905" s="298"/>
      <c r="J905" s="298"/>
      <c r="K905" s="299"/>
      <c r="L905" s="304"/>
      <c r="M905" s="300"/>
      <c r="N905" s="301"/>
      <c r="P905" s="193" t="str">
        <f>IF(R905 = "", "", COUNT(R$4:$R905))</f>
        <v/>
      </c>
      <c r="Q905" s="193" t="str">
        <f t="shared" si="141"/>
        <v/>
      </c>
      <c r="R905" s="194" t="str">
        <f t="shared" si="142"/>
        <v/>
      </c>
      <c r="S905" s="195" t="str">
        <f t="shared" si="144"/>
        <v/>
      </c>
      <c r="T905" s="196" t="str">
        <f t="shared" si="145"/>
        <v/>
      </c>
      <c r="U905" s="197" t="str">
        <f t="shared" si="146"/>
        <v/>
      </c>
      <c r="V905" s="198" t="str">
        <f t="shared" si="143"/>
        <v/>
      </c>
      <c r="W905" s="339" t="str">
        <f t="shared" si="147"/>
        <v/>
      </c>
      <c r="X905" s="341" t="str">
        <f t="shared" si="148"/>
        <v/>
      </c>
      <c r="Y905" s="277"/>
      <c r="AR905" t="str">
        <f t="shared" si="149"/>
        <v/>
      </c>
      <c r="AS905" t="str">
        <f t="shared" si="150"/>
        <v/>
      </c>
    </row>
    <row r="906" spans="1:45">
      <c r="A906" s="294"/>
      <c r="B906" s="295"/>
      <c r="C906" s="296"/>
      <c r="D906" s="296"/>
      <c r="E906" s="296"/>
      <c r="F906" s="296"/>
      <c r="G906" s="297"/>
      <c r="H906" s="303"/>
      <c r="I906" s="298"/>
      <c r="J906" s="298"/>
      <c r="K906" s="299"/>
      <c r="L906" s="304"/>
      <c r="M906" s="300"/>
      <c r="N906" s="301"/>
      <c r="P906" s="193" t="str">
        <f>IF(R906 = "", "", COUNT(R$4:$R906))</f>
        <v/>
      </c>
      <c r="Q906" s="193" t="str">
        <f t="shared" si="141"/>
        <v/>
      </c>
      <c r="R906" s="194" t="str">
        <f t="shared" si="142"/>
        <v/>
      </c>
      <c r="S906" s="195" t="str">
        <f t="shared" si="144"/>
        <v/>
      </c>
      <c r="T906" s="196" t="str">
        <f t="shared" si="145"/>
        <v/>
      </c>
      <c r="U906" s="197" t="str">
        <f t="shared" si="146"/>
        <v/>
      </c>
      <c r="V906" s="198" t="str">
        <f t="shared" si="143"/>
        <v/>
      </c>
      <c r="W906" s="339" t="str">
        <f t="shared" si="147"/>
        <v/>
      </c>
      <c r="X906" s="341" t="str">
        <f t="shared" si="148"/>
        <v/>
      </c>
      <c r="Y906" s="277"/>
      <c r="AR906" t="str">
        <f t="shared" si="149"/>
        <v/>
      </c>
      <c r="AS906" t="str">
        <f t="shared" si="150"/>
        <v/>
      </c>
    </row>
    <row r="907" spans="1:45">
      <c r="A907" s="294"/>
      <c r="B907" s="295"/>
      <c r="C907" s="296"/>
      <c r="D907" s="296"/>
      <c r="E907" s="296"/>
      <c r="F907" s="296"/>
      <c r="G907" s="297"/>
      <c r="H907" s="303"/>
      <c r="I907" s="298"/>
      <c r="J907" s="298"/>
      <c r="K907" s="299"/>
      <c r="L907" s="304"/>
      <c r="M907" s="300"/>
      <c r="N907" s="301"/>
      <c r="P907" s="193" t="str">
        <f>IF(R907 = "", "", COUNT(R$4:$R907))</f>
        <v/>
      </c>
      <c r="Q907" s="193" t="str">
        <f t="shared" si="141"/>
        <v/>
      </c>
      <c r="R907" s="194" t="str">
        <f t="shared" si="142"/>
        <v/>
      </c>
      <c r="S907" s="195" t="str">
        <f t="shared" si="144"/>
        <v/>
      </c>
      <c r="T907" s="196" t="str">
        <f t="shared" si="145"/>
        <v/>
      </c>
      <c r="U907" s="197" t="str">
        <f t="shared" si="146"/>
        <v/>
      </c>
      <c r="V907" s="198" t="str">
        <f t="shared" si="143"/>
        <v/>
      </c>
      <c r="W907" s="339" t="str">
        <f t="shared" si="147"/>
        <v/>
      </c>
      <c r="X907" s="341" t="str">
        <f t="shared" si="148"/>
        <v/>
      </c>
      <c r="Y907" s="277"/>
      <c r="AR907" t="str">
        <f t="shared" si="149"/>
        <v/>
      </c>
      <c r="AS907" t="str">
        <f t="shared" si="150"/>
        <v/>
      </c>
    </row>
    <row r="908" spans="1:45">
      <c r="A908" s="294"/>
      <c r="B908" s="295"/>
      <c r="C908" s="296"/>
      <c r="D908" s="296"/>
      <c r="E908" s="296"/>
      <c r="F908" s="296"/>
      <c r="G908" s="297"/>
      <c r="H908" s="303"/>
      <c r="I908" s="298"/>
      <c r="J908" s="298"/>
      <c r="K908" s="299"/>
      <c r="L908" s="304"/>
      <c r="M908" s="300"/>
      <c r="N908" s="301"/>
      <c r="P908" s="193" t="str">
        <f>IF(R908 = "", "", COUNT(R$4:$R908))</f>
        <v/>
      </c>
      <c r="Q908" s="193" t="str">
        <f t="shared" si="141"/>
        <v/>
      </c>
      <c r="R908" s="194" t="str">
        <f t="shared" si="142"/>
        <v/>
      </c>
      <c r="S908" s="195" t="str">
        <f t="shared" si="144"/>
        <v/>
      </c>
      <c r="T908" s="196" t="str">
        <f t="shared" si="145"/>
        <v/>
      </c>
      <c r="U908" s="197" t="str">
        <f t="shared" si="146"/>
        <v/>
      </c>
      <c r="V908" s="198" t="str">
        <f t="shared" si="143"/>
        <v/>
      </c>
      <c r="W908" s="339" t="str">
        <f t="shared" si="147"/>
        <v/>
      </c>
      <c r="X908" s="341" t="str">
        <f t="shared" si="148"/>
        <v/>
      </c>
      <c r="Y908" s="277"/>
      <c r="AR908" t="str">
        <f t="shared" si="149"/>
        <v/>
      </c>
      <c r="AS908" t="str">
        <f t="shared" si="150"/>
        <v/>
      </c>
    </row>
    <row r="909" spans="1:45">
      <c r="A909" s="294"/>
      <c r="B909" s="295"/>
      <c r="C909" s="296"/>
      <c r="D909" s="296"/>
      <c r="E909" s="296"/>
      <c r="F909" s="296"/>
      <c r="G909" s="297"/>
      <c r="H909" s="303"/>
      <c r="I909" s="298"/>
      <c r="J909" s="298"/>
      <c r="K909" s="299"/>
      <c r="L909" s="304"/>
      <c r="M909" s="300"/>
      <c r="N909" s="301"/>
      <c r="P909" s="193" t="str">
        <f>IF(R909 = "", "", COUNT(R$4:$R909))</f>
        <v/>
      </c>
      <c r="Q909" s="193" t="str">
        <f t="shared" si="141"/>
        <v/>
      </c>
      <c r="R909" s="194" t="str">
        <f t="shared" si="142"/>
        <v/>
      </c>
      <c r="S909" s="195" t="str">
        <f t="shared" si="144"/>
        <v/>
      </c>
      <c r="T909" s="196" t="str">
        <f t="shared" si="145"/>
        <v/>
      </c>
      <c r="U909" s="197" t="str">
        <f t="shared" si="146"/>
        <v/>
      </c>
      <c r="V909" s="198" t="str">
        <f t="shared" si="143"/>
        <v/>
      </c>
      <c r="W909" s="339" t="str">
        <f t="shared" si="147"/>
        <v/>
      </c>
      <c r="X909" s="341" t="str">
        <f t="shared" si="148"/>
        <v/>
      </c>
      <c r="Y909" s="277"/>
      <c r="AR909" t="str">
        <f t="shared" si="149"/>
        <v/>
      </c>
      <c r="AS909" t="str">
        <f t="shared" si="150"/>
        <v/>
      </c>
    </row>
    <row r="910" spans="1:45">
      <c r="A910" s="294"/>
      <c r="B910" s="295"/>
      <c r="C910" s="296"/>
      <c r="D910" s="296"/>
      <c r="E910" s="296"/>
      <c r="F910" s="296"/>
      <c r="G910" s="297"/>
      <c r="H910" s="303"/>
      <c r="I910" s="298"/>
      <c r="J910" s="298"/>
      <c r="K910" s="299"/>
      <c r="L910" s="304"/>
      <c r="M910" s="300"/>
      <c r="N910" s="301"/>
      <c r="P910" s="193" t="str">
        <f>IF(R910 = "", "", COUNT(R$4:$R910))</f>
        <v/>
      </c>
      <c r="Q910" s="193" t="str">
        <f t="shared" si="141"/>
        <v/>
      </c>
      <c r="R910" s="194" t="str">
        <f t="shared" si="142"/>
        <v/>
      </c>
      <c r="S910" s="195" t="str">
        <f t="shared" si="144"/>
        <v/>
      </c>
      <c r="T910" s="196" t="str">
        <f t="shared" si="145"/>
        <v/>
      </c>
      <c r="U910" s="197" t="str">
        <f t="shared" si="146"/>
        <v/>
      </c>
      <c r="V910" s="198" t="str">
        <f t="shared" si="143"/>
        <v/>
      </c>
      <c r="W910" s="339" t="str">
        <f t="shared" si="147"/>
        <v/>
      </c>
      <c r="X910" s="341" t="str">
        <f t="shared" si="148"/>
        <v/>
      </c>
      <c r="Y910" s="277"/>
      <c r="AR910" t="str">
        <f t="shared" si="149"/>
        <v/>
      </c>
      <c r="AS910" t="str">
        <f t="shared" si="150"/>
        <v/>
      </c>
    </row>
    <row r="911" spans="1:45">
      <c r="A911" s="294"/>
      <c r="B911" s="295"/>
      <c r="C911" s="296"/>
      <c r="D911" s="296"/>
      <c r="E911" s="296"/>
      <c r="F911" s="296"/>
      <c r="G911" s="297"/>
      <c r="H911" s="303"/>
      <c r="I911" s="298"/>
      <c r="J911" s="298"/>
      <c r="K911" s="299"/>
      <c r="L911" s="304"/>
      <c r="M911" s="300"/>
      <c r="N911" s="301"/>
      <c r="P911" s="193" t="str">
        <f>IF(R911 = "", "", COUNT(R$4:$R911))</f>
        <v/>
      </c>
      <c r="Q911" s="193" t="str">
        <f t="shared" si="141"/>
        <v/>
      </c>
      <c r="R911" s="194" t="str">
        <f t="shared" si="142"/>
        <v/>
      </c>
      <c r="S911" s="195" t="str">
        <f t="shared" si="144"/>
        <v/>
      </c>
      <c r="T911" s="196" t="str">
        <f t="shared" si="145"/>
        <v/>
      </c>
      <c r="U911" s="197" t="str">
        <f t="shared" si="146"/>
        <v/>
      </c>
      <c r="V911" s="198" t="str">
        <f t="shared" si="143"/>
        <v/>
      </c>
      <c r="W911" s="339" t="str">
        <f t="shared" si="147"/>
        <v/>
      </c>
      <c r="X911" s="341" t="str">
        <f t="shared" si="148"/>
        <v/>
      </c>
      <c r="Y911" s="277"/>
      <c r="AR911" t="str">
        <f t="shared" si="149"/>
        <v/>
      </c>
      <c r="AS911" t="str">
        <f t="shared" si="150"/>
        <v/>
      </c>
    </row>
    <row r="912" spans="1:45">
      <c r="A912" s="294"/>
      <c r="B912" s="295"/>
      <c r="C912" s="296"/>
      <c r="D912" s="296"/>
      <c r="E912" s="296"/>
      <c r="F912" s="296"/>
      <c r="G912" s="297"/>
      <c r="H912" s="303"/>
      <c r="I912" s="298"/>
      <c r="J912" s="298"/>
      <c r="K912" s="299"/>
      <c r="L912" s="304"/>
      <c r="M912" s="300"/>
      <c r="N912" s="301"/>
      <c r="P912" s="193" t="str">
        <f>IF(R912 = "", "", COUNT(R$4:$R912))</f>
        <v/>
      </c>
      <c r="Q912" s="193" t="str">
        <f t="shared" si="141"/>
        <v/>
      </c>
      <c r="R912" s="194" t="str">
        <f t="shared" si="142"/>
        <v/>
      </c>
      <c r="S912" s="195" t="str">
        <f t="shared" si="144"/>
        <v/>
      </c>
      <c r="T912" s="196" t="str">
        <f t="shared" si="145"/>
        <v/>
      </c>
      <c r="U912" s="197" t="str">
        <f t="shared" si="146"/>
        <v/>
      </c>
      <c r="V912" s="198" t="str">
        <f t="shared" si="143"/>
        <v/>
      </c>
      <c r="W912" s="339" t="str">
        <f t="shared" si="147"/>
        <v/>
      </c>
      <c r="X912" s="341" t="str">
        <f t="shared" si="148"/>
        <v/>
      </c>
      <c r="Y912" s="277"/>
      <c r="AR912" t="str">
        <f t="shared" si="149"/>
        <v/>
      </c>
      <c r="AS912" t="str">
        <f t="shared" si="150"/>
        <v/>
      </c>
    </row>
    <row r="913" spans="1:45">
      <c r="A913" s="294"/>
      <c r="B913" s="295"/>
      <c r="C913" s="296"/>
      <c r="D913" s="296"/>
      <c r="E913" s="296"/>
      <c r="F913" s="296"/>
      <c r="G913" s="297"/>
      <c r="H913" s="303"/>
      <c r="I913" s="298"/>
      <c r="J913" s="298"/>
      <c r="K913" s="299"/>
      <c r="L913" s="304"/>
      <c r="M913" s="300"/>
      <c r="N913" s="301"/>
      <c r="P913" s="193" t="str">
        <f>IF(R913 = "", "", COUNT(R$4:$R913))</f>
        <v/>
      </c>
      <c r="Q913" s="193" t="str">
        <f t="shared" si="141"/>
        <v/>
      </c>
      <c r="R913" s="194" t="str">
        <f t="shared" si="142"/>
        <v/>
      </c>
      <c r="S913" s="195" t="str">
        <f t="shared" si="144"/>
        <v/>
      </c>
      <c r="T913" s="196" t="str">
        <f t="shared" si="145"/>
        <v/>
      </c>
      <c r="U913" s="197" t="str">
        <f t="shared" si="146"/>
        <v/>
      </c>
      <c r="V913" s="198" t="str">
        <f t="shared" si="143"/>
        <v/>
      </c>
      <c r="W913" s="339" t="str">
        <f t="shared" si="147"/>
        <v/>
      </c>
      <c r="X913" s="341" t="str">
        <f t="shared" si="148"/>
        <v/>
      </c>
      <c r="Y913" s="277"/>
      <c r="AR913" t="str">
        <f t="shared" si="149"/>
        <v/>
      </c>
      <c r="AS913" t="str">
        <f t="shared" si="150"/>
        <v/>
      </c>
    </row>
    <row r="914" spans="1:45">
      <c r="A914" s="294"/>
      <c r="B914" s="295"/>
      <c r="C914" s="296"/>
      <c r="D914" s="296"/>
      <c r="E914" s="296"/>
      <c r="F914" s="296"/>
      <c r="G914" s="297"/>
      <c r="H914" s="303"/>
      <c r="I914" s="298"/>
      <c r="J914" s="298"/>
      <c r="K914" s="299"/>
      <c r="L914" s="304"/>
      <c r="M914" s="300"/>
      <c r="N914" s="301"/>
      <c r="P914" s="193" t="str">
        <f>IF(R914 = "", "", COUNT(R$4:$R914))</f>
        <v/>
      </c>
      <c r="Q914" s="193" t="str">
        <f t="shared" si="141"/>
        <v/>
      </c>
      <c r="R914" s="194" t="str">
        <f t="shared" si="142"/>
        <v/>
      </c>
      <c r="S914" s="195" t="str">
        <f t="shared" si="144"/>
        <v/>
      </c>
      <c r="T914" s="196" t="str">
        <f t="shared" si="145"/>
        <v/>
      </c>
      <c r="U914" s="197" t="str">
        <f t="shared" si="146"/>
        <v/>
      </c>
      <c r="V914" s="198" t="str">
        <f t="shared" si="143"/>
        <v/>
      </c>
      <c r="W914" s="339" t="str">
        <f t="shared" si="147"/>
        <v/>
      </c>
      <c r="X914" s="341" t="str">
        <f t="shared" si="148"/>
        <v/>
      </c>
      <c r="Y914" s="277"/>
      <c r="AR914" t="str">
        <f t="shared" si="149"/>
        <v/>
      </c>
      <c r="AS914" t="str">
        <f t="shared" si="150"/>
        <v/>
      </c>
    </row>
    <row r="915" spans="1:45">
      <c r="A915" s="294"/>
      <c r="B915" s="295"/>
      <c r="C915" s="296"/>
      <c r="D915" s="296"/>
      <c r="E915" s="296"/>
      <c r="F915" s="296"/>
      <c r="G915" s="297"/>
      <c r="H915" s="303"/>
      <c r="I915" s="298"/>
      <c r="J915" s="298"/>
      <c r="K915" s="299"/>
      <c r="L915" s="304"/>
      <c r="M915" s="300"/>
      <c r="N915" s="301"/>
      <c r="P915" s="193" t="str">
        <f>IF(R915 = "", "", COUNT(R$4:$R915))</f>
        <v/>
      </c>
      <c r="Q915" s="193" t="str">
        <f t="shared" si="141"/>
        <v/>
      </c>
      <c r="R915" s="194" t="str">
        <f t="shared" si="142"/>
        <v/>
      </c>
      <c r="S915" s="195" t="str">
        <f t="shared" si="144"/>
        <v/>
      </c>
      <c r="T915" s="196" t="str">
        <f t="shared" si="145"/>
        <v/>
      </c>
      <c r="U915" s="197" t="str">
        <f t="shared" si="146"/>
        <v/>
      </c>
      <c r="V915" s="198" t="str">
        <f t="shared" si="143"/>
        <v/>
      </c>
      <c r="W915" s="339" t="str">
        <f t="shared" si="147"/>
        <v/>
      </c>
      <c r="X915" s="341" t="str">
        <f t="shared" si="148"/>
        <v/>
      </c>
      <c r="Y915" s="277"/>
      <c r="AR915" t="str">
        <f t="shared" si="149"/>
        <v/>
      </c>
      <c r="AS915" t="str">
        <f t="shared" si="150"/>
        <v/>
      </c>
    </row>
    <row r="916" spans="1:45">
      <c r="A916" s="294"/>
      <c r="B916" s="295"/>
      <c r="C916" s="296"/>
      <c r="D916" s="296"/>
      <c r="E916" s="296"/>
      <c r="F916" s="296"/>
      <c r="G916" s="297"/>
      <c r="H916" s="303"/>
      <c r="I916" s="298"/>
      <c r="J916" s="298"/>
      <c r="K916" s="299"/>
      <c r="L916" s="304"/>
      <c r="M916" s="300"/>
      <c r="N916" s="301"/>
      <c r="P916" s="193" t="str">
        <f>IF(R916 = "", "", COUNT(R$4:$R916))</f>
        <v/>
      </c>
      <c r="Q916" s="193" t="str">
        <f t="shared" si="141"/>
        <v/>
      </c>
      <c r="R916" s="194" t="str">
        <f t="shared" si="142"/>
        <v/>
      </c>
      <c r="S916" s="195" t="str">
        <f t="shared" si="144"/>
        <v/>
      </c>
      <c r="T916" s="196" t="str">
        <f t="shared" si="145"/>
        <v/>
      </c>
      <c r="U916" s="197" t="str">
        <f t="shared" si="146"/>
        <v/>
      </c>
      <c r="V916" s="198" t="str">
        <f t="shared" si="143"/>
        <v/>
      </c>
      <c r="W916" s="339" t="str">
        <f t="shared" si="147"/>
        <v/>
      </c>
      <c r="X916" s="341" t="str">
        <f t="shared" si="148"/>
        <v/>
      </c>
      <c r="Y916" s="277"/>
      <c r="AR916" t="str">
        <f t="shared" si="149"/>
        <v/>
      </c>
      <c r="AS916" t="str">
        <f t="shared" si="150"/>
        <v/>
      </c>
    </row>
    <row r="917" spans="1:45">
      <c r="A917" s="294"/>
      <c r="B917" s="295"/>
      <c r="C917" s="296"/>
      <c r="D917" s="296"/>
      <c r="E917" s="296"/>
      <c r="F917" s="296"/>
      <c r="G917" s="297"/>
      <c r="H917" s="303"/>
      <c r="I917" s="298"/>
      <c r="J917" s="298"/>
      <c r="K917" s="299"/>
      <c r="L917" s="304"/>
      <c r="M917" s="300"/>
      <c r="N917" s="301"/>
      <c r="P917" s="193" t="str">
        <f>IF(R917 = "", "", COUNT(R$4:$R917))</f>
        <v/>
      </c>
      <c r="Q917" s="193" t="str">
        <f t="shared" si="141"/>
        <v/>
      </c>
      <c r="R917" s="194" t="str">
        <f t="shared" si="142"/>
        <v/>
      </c>
      <c r="S917" s="195" t="str">
        <f t="shared" si="144"/>
        <v/>
      </c>
      <c r="T917" s="196" t="str">
        <f t="shared" si="145"/>
        <v/>
      </c>
      <c r="U917" s="197" t="str">
        <f t="shared" si="146"/>
        <v/>
      </c>
      <c r="V917" s="198" t="str">
        <f t="shared" si="143"/>
        <v/>
      </c>
      <c r="W917" s="339" t="str">
        <f t="shared" si="147"/>
        <v/>
      </c>
      <c r="X917" s="341" t="str">
        <f t="shared" si="148"/>
        <v/>
      </c>
      <c r="Y917" s="277"/>
      <c r="AR917" t="str">
        <f t="shared" si="149"/>
        <v/>
      </c>
      <c r="AS917" t="str">
        <f t="shared" si="150"/>
        <v/>
      </c>
    </row>
    <row r="918" spans="1:45">
      <c r="A918" s="294"/>
      <c r="B918" s="295"/>
      <c r="C918" s="296"/>
      <c r="D918" s="296"/>
      <c r="E918" s="296"/>
      <c r="F918" s="296"/>
      <c r="G918" s="297"/>
      <c r="H918" s="303"/>
      <c r="I918" s="298"/>
      <c r="J918" s="298"/>
      <c r="K918" s="299"/>
      <c r="L918" s="304"/>
      <c r="M918" s="300"/>
      <c r="N918" s="301"/>
      <c r="P918" s="193" t="str">
        <f>IF(R918 = "", "", COUNT(R$4:$R918))</f>
        <v/>
      </c>
      <c r="Q918" s="193" t="str">
        <f t="shared" si="141"/>
        <v/>
      </c>
      <c r="R918" s="194" t="str">
        <f t="shared" si="142"/>
        <v/>
      </c>
      <c r="S918" s="195" t="str">
        <f t="shared" si="144"/>
        <v/>
      </c>
      <c r="T918" s="196" t="str">
        <f t="shared" si="145"/>
        <v/>
      </c>
      <c r="U918" s="197" t="str">
        <f t="shared" si="146"/>
        <v/>
      </c>
      <c r="V918" s="198" t="str">
        <f t="shared" si="143"/>
        <v/>
      </c>
      <c r="W918" s="339" t="str">
        <f t="shared" si="147"/>
        <v/>
      </c>
      <c r="X918" s="341" t="str">
        <f t="shared" si="148"/>
        <v/>
      </c>
      <c r="Y918" s="277"/>
      <c r="AR918" t="str">
        <f t="shared" si="149"/>
        <v/>
      </c>
      <c r="AS918" t="str">
        <f t="shared" si="150"/>
        <v/>
      </c>
    </row>
    <row r="919" spans="1:45">
      <c r="A919" s="294"/>
      <c r="B919" s="295"/>
      <c r="C919" s="296"/>
      <c r="D919" s="296"/>
      <c r="E919" s="296"/>
      <c r="F919" s="296"/>
      <c r="G919" s="297"/>
      <c r="H919" s="303"/>
      <c r="I919" s="298"/>
      <c r="J919" s="298"/>
      <c r="K919" s="299"/>
      <c r="L919" s="304"/>
      <c r="M919" s="300"/>
      <c r="N919" s="301"/>
      <c r="P919" s="193" t="str">
        <f>IF(R919 = "", "", COUNT(R$4:$R919))</f>
        <v/>
      </c>
      <c r="Q919" s="193" t="str">
        <f t="shared" si="141"/>
        <v/>
      </c>
      <c r="R919" s="194" t="str">
        <f t="shared" si="142"/>
        <v/>
      </c>
      <c r="S919" s="195" t="str">
        <f t="shared" si="144"/>
        <v/>
      </c>
      <c r="T919" s="196" t="str">
        <f t="shared" si="145"/>
        <v/>
      </c>
      <c r="U919" s="197" t="str">
        <f t="shared" si="146"/>
        <v/>
      </c>
      <c r="V919" s="198" t="str">
        <f t="shared" si="143"/>
        <v/>
      </c>
      <c r="W919" s="339" t="str">
        <f t="shared" si="147"/>
        <v/>
      </c>
      <c r="X919" s="341" t="str">
        <f t="shared" si="148"/>
        <v/>
      </c>
      <c r="Y919" s="277"/>
      <c r="AR919" t="str">
        <f t="shared" si="149"/>
        <v/>
      </c>
      <c r="AS919" t="str">
        <f t="shared" si="150"/>
        <v/>
      </c>
    </row>
    <row r="920" spans="1:45">
      <c r="A920" s="294"/>
      <c r="B920" s="295"/>
      <c r="C920" s="296"/>
      <c r="D920" s="296"/>
      <c r="E920" s="296"/>
      <c r="F920" s="296"/>
      <c r="G920" s="297"/>
      <c r="H920" s="303"/>
      <c r="I920" s="298"/>
      <c r="J920" s="298"/>
      <c r="K920" s="299"/>
      <c r="L920" s="304"/>
      <c r="M920" s="300"/>
      <c r="N920" s="301"/>
      <c r="P920" s="193" t="str">
        <f>IF(R920 = "", "", COUNT(R$4:$R920))</f>
        <v/>
      </c>
      <c r="Q920" s="193" t="str">
        <f t="shared" si="141"/>
        <v/>
      </c>
      <c r="R920" s="194" t="str">
        <f t="shared" si="142"/>
        <v/>
      </c>
      <c r="S920" s="195" t="str">
        <f t="shared" si="144"/>
        <v/>
      </c>
      <c r="T920" s="196" t="str">
        <f t="shared" si="145"/>
        <v/>
      </c>
      <c r="U920" s="197" t="str">
        <f t="shared" si="146"/>
        <v/>
      </c>
      <c r="V920" s="198" t="str">
        <f t="shared" si="143"/>
        <v/>
      </c>
      <c r="W920" s="339" t="str">
        <f t="shared" si="147"/>
        <v/>
      </c>
      <c r="X920" s="341" t="str">
        <f t="shared" si="148"/>
        <v/>
      </c>
      <c r="Y920" s="277"/>
      <c r="AR920" t="str">
        <f t="shared" si="149"/>
        <v/>
      </c>
      <c r="AS920" t="str">
        <f t="shared" si="150"/>
        <v/>
      </c>
    </row>
    <row r="921" spans="1:45">
      <c r="A921" s="294"/>
      <c r="B921" s="295"/>
      <c r="C921" s="296"/>
      <c r="D921" s="296"/>
      <c r="E921" s="296"/>
      <c r="F921" s="296"/>
      <c r="G921" s="297"/>
      <c r="H921" s="303"/>
      <c r="I921" s="298"/>
      <c r="J921" s="298"/>
      <c r="K921" s="299"/>
      <c r="L921" s="304"/>
      <c r="M921" s="300"/>
      <c r="N921" s="301"/>
      <c r="P921" s="193" t="str">
        <f>IF(R921 = "", "", COUNT(R$4:$R921))</f>
        <v/>
      </c>
      <c r="Q921" s="193" t="str">
        <f t="shared" si="141"/>
        <v/>
      </c>
      <c r="R921" s="194" t="str">
        <f t="shared" si="142"/>
        <v/>
      </c>
      <c r="S921" s="195" t="str">
        <f t="shared" si="144"/>
        <v/>
      </c>
      <c r="T921" s="196" t="str">
        <f t="shared" si="145"/>
        <v/>
      </c>
      <c r="U921" s="197" t="str">
        <f t="shared" si="146"/>
        <v/>
      </c>
      <c r="V921" s="198" t="str">
        <f t="shared" si="143"/>
        <v/>
      </c>
      <c r="W921" s="339" t="str">
        <f t="shared" si="147"/>
        <v/>
      </c>
      <c r="X921" s="341" t="str">
        <f t="shared" si="148"/>
        <v/>
      </c>
      <c r="Y921" s="277"/>
      <c r="AR921" t="str">
        <f t="shared" si="149"/>
        <v/>
      </c>
      <c r="AS921" t="str">
        <f t="shared" si="150"/>
        <v/>
      </c>
    </row>
    <row r="922" spans="1:45">
      <c r="A922" s="294"/>
      <c r="B922" s="295"/>
      <c r="C922" s="296"/>
      <c r="D922" s="296"/>
      <c r="E922" s="296"/>
      <c r="F922" s="296"/>
      <c r="G922" s="297"/>
      <c r="H922" s="303"/>
      <c r="I922" s="298"/>
      <c r="J922" s="298"/>
      <c r="K922" s="299"/>
      <c r="L922" s="304"/>
      <c r="M922" s="300"/>
      <c r="N922" s="301"/>
      <c r="P922" s="193" t="str">
        <f>IF(R922 = "", "", COUNT(R$4:$R922))</f>
        <v/>
      </c>
      <c r="Q922" s="193" t="str">
        <f t="shared" si="141"/>
        <v/>
      </c>
      <c r="R922" s="194" t="str">
        <f t="shared" si="142"/>
        <v/>
      </c>
      <c r="S922" s="195" t="str">
        <f t="shared" si="144"/>
        <v/>
      </c>
      <c r="T922" s="196" t="str">
        <f t="shared" si="145"/>
        <v/>
      </c>
      <c r="U922" s="197" t="str">
        <f t="shared" si="146"/>
        <v/>
      </c>
      <c r="V922" s="198" t="str">
        <f t="shared" si="143"/>
        <v/>
      </c>
      <c r="W922" s="339" t="str">
        <f t="shared" si="147"/>
        <v/>
      </c>
      <c r="X922" s="341" t="str">
        <f t="shared" si="148"/>
        <v/>
      </c>
      <c r="Y922" s="277"/>
      <c r="AR922" t="str">
        <f t="shared" si="149"/>
        <v/>
      </c>
      <c r="AS922" t="str">
        <f t="shared" si="150"/>
        <v/>
      </c>
    </row>
    <row r="923" spans="1:45">
      <c r="A923" s="294"/>
      <c r="B923" s="295"/>
      <c r="C923" s="296"/>
      <c r="D923" s="296"/>
      <c r="E923" s="296"/>
      <c r="F923" s="296"/>
      <c r="G923" s="297"/>
      <c r="H923" s="303"/>
      <c r="I923" s="298"/>
      <c r="J923" s="298"/>
      <c r="K923" s="299"/>
      <c r="L923" s="304"/>
      <c r="M923" s="300"/>
      <c r="N923" s="301"/>
      <c r="P923" s="193" t="str">
        <f>IF(R923 = "", "", COUNT(R$4:$R923))</f>
        <v/>
      </c>
      <c r="Q923" s="193" t="str">
        <f t="shared" si="141"/>
        <v/>
      </c>
      <c r="R923" s="194" t="str">
        <f t="shared" si="142"/>
        <v/>
      </c>
      <c r="S923" s="195" t="str">
        <f t="shared" si="144"/>
        <v/>
      </c>
      <c r="T923" s="196" t="str">
        <f t="shared" si="145"/>
        <v/>
      </c>
      <c r="U923" s="197" t="str">
        <f t="shared" si="146"/>
        <v/>
      </c>
      <c r="V923" s="198" t="str">
        <f t="shared" si="143"/>
        <v/>
      </c>
      <c r="W923" s="339" t="str">
        <f t="shared" si="147"/>
        <v/>
      </c>
      <c r="X923" s="341" t="str">
        <f t="shared" si="148"/>
        <v/>
      </c>
      <c r="Y923" s="277"/>
      <c r="AR923" t="str">
        <f t="shared" si="149"/>
        <v/>
      </c>
      <c r="AS923" t="str">
        <f t="shared" si="150"/>
        <v/>
      </c>
    </row>
    <row r="924" spans="1:45">
      <c r="A924" s="294"/>
      <c r="B924" s="295"/>
      <c r="C924" s="296"/>
      <c r="D924" s="296"/>
      <c r="E924" s="296"/>
      <c r="F924" s="296"/>
      <c r="G924" s="297"/>
      <c r="H924" s="303"/>
      <c r="I924" s="298"/>
      <c r="J924" s="298"/>
      <c r="K924" s="299"/>
      <c r="L924" s="304"/>
      <c r="M924" s="300"/>
      <c r="N924" s="301"/>
      <c r="P924" s="193" t="str">
        <f>IF(R924 = "", "", COUNT(R$4:$R924))</f>
        <v/>
      </c>
      <c r="Q924" s="193" t="str">
        <f t="shared" si="141"/>
        <v/>
      </c>
      <c r="R924" s="194" t="str">
        <f t="shared" si="142"/>
        <v/>
      </c>
      <c r="S924" s="195" t="str">
        <f t="shared" si="144"/>
        <v/>
      </c>
      <c r="T924" s="196" t="str">
        <f t="shared" si="145"/>
        <v/>
      </c>
      <c r="U924" s="197" t="str">
        <f t="shared" si="146"/>
        <v/>
      </c>
      <c r="V924" s="198" t="str">
        <f t="shared" si="143"/>
        <v/>
      </c>
      <c r="W924" s="339" t="str">
        <f t="shared" si="147"/>
        <v/>
      </c>
      <c r="X924" s="341" t="str">
        <f t="shared" si="148"/>
        <v/>
      </c>
      <c r="Y924" s="277"/>
      <c r="AR924" t="str">
        <f t="shared" si="149"/>
        <v/>
      </c>
      <c r="AS924" t="str">
        <f t="shared" si="150"/>
        <v/>
      </c>
    </row>
    <row r="925" spans="1:45">
      <c r="A925" s="294"/>
      <c r="B925" s="295"/>
      <c r="C925" s="296"/>
      <c r="D925" s="296"/>
      <c r="E925" s="296"/>
      <c r="F925" s="296"/>
      <c r="G925" s="297"/>
      <c r="H925" s="303"/>
      <c r="I925" s="298"/>
      <c r="J925" s="298"/>
      <c r="K925" s="299"/>
      <c r="L925" s="304"/>
      <c r="M925" s="300"/>
      <c r="N925" s="301"/>
      <c r="P925" s="193" t="str">
        <f>IF(R925 = "", "", COUNT(R$4:$R925))</f>
        <v/>
      </c>
      <c r="Q925" s="193" t="str">
        <f t="shared" si="141"/>
        <v/>
      </c>
      <c r="R925" s="194" t="str">
        <f t="shared" si="142"/>
        <v/>
      </c>
      <c r="S925" s="195" t="str">
        <f t="shared" si="144"/>
        <v/>
      </c>
      <c r="T925" s="196" t="str">
        <f t="shared" si="145"/>
        <v/>
      </c>
      <c r="U925" s="197" t="str">
        <f t="shared" si="146"/>
        <v/>
      </c>
      <c r="V925" s="198" t="str">
        <f t="shared" si="143"/>
        <v/>
      </c>
      <c r="W925" s="339" t="str">
        <f t="shared" si="147"/>
        <v/>
      </c>
      <c r="X925" s="341" t="str">
        <f t="shared" si="148"/>
        <v/>
      </c>
      <c r="Y925" s="277"/>
      <c r="AR925" t="str">
        <f t="shared" si="149"/>
        <v/>
      </c>
      <c r="AS925" t="str">
        <f t="shared" si="150"/>
        <v/>
      </c>
    </row>
    <row r="926" spans="1:45">
      <c r="A926" s="294"/>
      <c r="B926" s="295"/>
      <c r="C926" s="296"/>
      <c r="D926" s="296"/>
      <c r="E926" s="296"/>
      <c r="F926" s="296"/>
      <c r="G926" s="297"/>
      <c r="H926" s="303"/>
      <c r="I926" s="298"/>
      <c r="J926" s="298"/>
      <c r="K926" s="299"/>
      <c r="L926" s="304"/>
      <c r="M926" s="300"/>
      <c r="N926" s="301"/>
      <c r="P926" s="193" t="str">
        <f>IF(R926 = "", "", COUNT(R$4:$R926))</f>
        <v/>
      </c>
      <c r="Q926" s="193" t="str">
        <f t="shared" si="141"/>
        <v/>
      </c>
      <c r="R926" s="194" t="str">
        <f t="shared" si="142"/>
        <v/>
      </c>
      <c r="S926" s="195" t="str">
        <f t="shared" si="144"/>
        <v/>
      </c>
      <c r="T926" s="196" t="str">
        <f t="shared" si="145"/>
        <v/>
      </c>
      <c r="U926" s="197" t="str">
        <f t="shared" si="146"/>
        <v/>
      </c>
      <c r="V926" s="198" t="str">
        <f t="shared" si="143"/>
        <v/>
      </c>
      <c r="W926" s="339" t="str">
        <f t="shared" si="147"/>
        <v/>
      </c>
      <c r="X926" s="341" t="str">
        <f t="shared" si="148"/>
        <v/>
      </c>
      <c r="Y926" s="277"/>
      <c r="AR926" t="str">
        <f t="shared" si="149"/>
        <v/>
      </c>
      <c r="AS926" t="str">
        <f t="shared" si="150"/>
        <v/>
      </c>
    </row>
    <row r="927" spans="1:45">
      <c r="A927" s="294"/>
      <c r="B927" s="295"/>
      <c r="C927" s="296"/>
      <c r="D927" s="296"/>
      <c r="E927" s="296"/>
      <c r="F927" s="296"/>
      <c r="G927" s="297"/>
      <c r="H927" s="303"/>
      <c r="I927" s="298"/>
      <c r="J927" s="298"/>
      <c r="K927" s="299"/>
      <c r="L927" s="304"/>
      <c r="M927" s="300"/>
      <c r="N927" s="301"/>
      <c r="P927" s="193" t="str">
        <f>IF(R927 = "", "", COUNT(R$4:$R927))</f>
        <v/>
      </c>
      <c r="Q927" s="193" t="str">
        <f t="shared" si="141"/>
        <v/>
      </c>
      <c r="R927" s="194" t="str">
        <f t="shared" si="142"/>
        <v/>
      </c>
      <c r="S927" s="195" t="str">
        <f t="shared" si="144"/>
        <v/>
      </c>
      <c r="T927" s="196" t="str">
        <f t="shared" si="145"/>
        <v/>
      </c>
      <c r="U927" s="197" t="str">
        <f t="shared" si="146"/>
        <v/>
      </c>
      <c r="V927" s="198" t="str">
        <f t="shared" si="143"/>
        <v/>
      </c>
      <c r="W927" s="339" t="str">
        <f t="shared" si="147"/>
        <v/>
      </c>
      <c r="X927" s="341" t="str">
        <f t="shared" si="148"/>
        <v/>
      </c>
      <c r="Y927" s="277"/>
      <c r="AR927" t="str">
        <f t="shared" si="149"/>
        <v/>
      </c>
      <c r="AS927" t="str">
        <f t="shared" si="150"/>
        <v/>
      </c>
    </row>
    <row r="928" spans="1:45">
      <c r="A928" s="294"/>
      <c r="B928" s="295"/>
      <c r="C928" s="296"/>
      <c r="D928" s="296"/>
      <c r="E928" s="296"/>
      <c r="F928" s="296"/>
      <c r="G928" s="297"/>
      <c r="H928" s="303"/>
      <c r="I928" s="298"/>
      <c r="J928" s="298"/>
      <c r="K928" s="299"/>
      <c r="L928" s="304"/>
      <c r="M928" s="300"/>
      <c r="N928" s="301"/>
      <c r="P928" s="193" t="str">
        <f>IF(R928 = "", "", COUNT(R$4:$R928))</f>
        <v/>
      </c>
      <c r="Q928" s="193" t="str">
        <f t="shared" si="141"/>
        <v/>
      </c>
      <c r="R928" s="194" t="str">
        <f t="shared" si="142"/>
        <v/>
      </c>
      <c r="S928" s="195" t="str">
        <f t="shared" si="144"/>
        <v/>
      </c>
      <c r="T928" s="196" t="str">
        <f t="shared" si="145"/>
        <v/>
      </c>
      <c r="U928" s="197" t="str">
        <f t="shared" si="146"/>
        <v/>
      </c>
      <c r="V928" s="198" t="str">
        <f t="shared" si="143"/>
        <v/>
      </c>
      <c r="W928" s="339" t="str">
        <f t="shared" si="147"/>
        <v/>
      </c>
      <c r="X928" s="341" t="str">
        <f t="shared" si="148"/>
        <v/>
      </c>
      <c r="Y928" s="277"/>
      <c r="AR928" t="str">
        <f t="shared" si="149"/>
        <v/>
      </c>
      <c r="AS928" t="str">
        <f t="shared" si="150"/>
        <v/>
      </c>
    </row>
    <row r="929" spans="1:45">
      <c r="A929" s="294"/>
      <c r="B929" s="295"/>
      <c r="C929" s="296"/>
      <c r="D929" s="296"/>
      <c r="E929" s="296"/>
      <c r="F929" s="296"/>
      <c r="G929" s="297"/>
      <c r="H929" s="303"/>
      <c r="I929" s="298"/>
      <c r="J929" s="298"/>
      <c r="K929" s="299"/>
      <c r="L929" s="304"/>
      <c r="M929" s="300"/>
      <c r="N929" s="301"/>
      <c r="P929" s="193" t="str">
        <f>IF(R929 = "", "", COUNT(R$4:$R929))</f>
        <v/>
      </c>
      <c r="Q929" s="193" t="str">
        <f t="shared" si="141"/>
        <v/>
      </c>
      <c r="R929" s="194" t="str">
        <f t="shared" si="142"/>
        <v/>
      </c>
      <c r="S929" s="195" t="str">
        <f t="shared" si="144"/>
        <v/>
      </c>
      <c r="T929" s="196" t="str">
        <f t="shared" si="145"/>
        <v/>
      </c>
      <c r="U929" s="197" t="str">
        <f t="shared" si="146"/>
        <v/>
      </c>
      <c r="V929" s="198" t="str">
        <f t="shared" si="143"/>
        <v/>
      </c>
      <c r="W929" s="339" t="str">
        <f t="shared" si="147"/>
        <v/>
      </c>
      <c r="X929" s="341" t="str">
        <f t="shared" si="148"/>
        <v/>
      </c>
      <c r="Y929" s="277"/>
      <c r="AR929" t="str">
        <f t="shared" si="149"/>
        <v/>
      </c>
      <c r="AS929" t="str">
        <f t="shared" si="150"/>
        <v/>
      </c>
    </row>
    <row r="930" spans="1:45">
      <c r="A930" s="294"/>
      <c r="B930" s="295"/>
      <c r="C930" s="296"/>
      <c r="D930" s="296"/>
      <c r="E930" s="296"/>
      <c r="F930" s="296"/>
      <c r="G930" s="297"/>
      <c r="H930" s="303"/>
      <c r="I930" s="298"/>
      <c r="J930" s="298"/>
      <c r="K930" s="299"/>
      <c r="L930" s="304"/>
      <c r="M930" s="300"/>
      <c r="N930" s="301"/>
      <c r="P930" s="193" t="str">
        <f>IF(R930 = "", "", COUNT(R$4:$R930))</f>
        <v/>
      </c>
      <c r="Q930" s="193" t="str">
        <f t="shared" si="141"/>
        <v/>
      </c>
      <c r="R930" s="194" t="str">
        <f t="shared" si="142"/>
        <v/>
      </c>
      <c r="S930" s="195" t="str">
        <f t="shared" si="144"/>
        <v/>
      </c>
      <c r="T930" s="196" t="str">
        <f t="shared" si="145"/>
        <v/>
      </c>
      <c r="U930" s="197" t="str">
        <f t="shared" si="146"/>
        <v/>
      </c>
      <c r="V930" s="198" t="str">
        <f t="shared" si="143"/>
        <v/>
      </c>
      <c r="W930" s="339" t="str">
        <f t="shared" si="147"/>
        <v/>
      </c>
      <c r="X930" s="341" t="str">
        <f t="shared" si="148"/>
        <v/>
      </c>
      <c r="Y930" s="277"/>
      <c r="AR930" t="str">
        <f t="shared" si="149"/>
        <v/>
      </c>
      <c r="AS930" t="str">
        <f t="shared" si="150"/>
        <v/>
      </c>
    </row>
    <row r="931" spans="1:45">
      <c r="A931" s="294"/>
      <c r="B931" s="295"/>
      <c r="C931" s="296"/>
      <c r="D931" s="296"/>
      <c r="E931" s="296"/>
      <c r="F931" s="296"/>
      <c r="G931" s="297"/>
      <c r="H931" s="303"/>
      <c r="I931" s="298"/>
      <c r="J931" s="298"/>
      <c r="K931" s="299"/>
      <c r="L931" s="304"/>
      <c r="M931" s="300"/>
      <c r="N931" s="301"/>
      <c r="P931" s="193" t="str">
        <f>IF(R931 = "", "", COUNT(R$4:$R931))</f>
        <v/>
      </c>
      <c r="Q931" s="193" t="str">
        <f t="shared" si="141"/>
        <v/>
      </c>
      <c r="R931" s="194" t="str">
        <f t="shared" si="142"/>
        <v/>
      </c>
      <c r="S931" s="195" t="str">
        <f t="shared" si="144"/>
        <v/>
      </c>
      <c r="T931" s="196" t="str">
        <f t="shared" si="145"/>
        <v/>
      </c>
      <c r="U931" s="197" t="str">
        <f t="shared" si="146"/>
        <v/>
      </c>
      <c r="V931" s="198" t="str">
        <f t="shared" si="143"/>
        <v/>
      </c>
      <c r="W931" s="339" t="str">
        <f t="shared" si="147"/>
        <v/>
      </c>
      <c r="X931" s="341" t="str">
        <f t="shared" si="148"/>
        <v/>
      </c>
      <c r="Y931" s="277"/>
      <c r="AR931" t="str">
        <f t="shared" si="149"/>
        <v/>
      </c>
      <c r="AS931" t="str">
        <f t="shared" si="150"/>
        <v/>
      </c>
    </row>
    <row r="932" spans="1:45">
      <c r="A932" s="294"/>
      <c r="B932" s="295"/>
      <c r="C932" s="296"/>
      <c r="D932" s="296"/>
      <c r="E932" s="296"/>
      <c r="F932" s="296"/>
      <c r="G932" s="297"/>
      <c r="H932" s="303"/>
      <c r="I932" s="298"/>
      <c r="J932" s="298"/>
      <c r="K932" s="299"/>
      <c r="L932" s="304"/>
      <c r="M932" s="300"/>
      <c r="N932" s="301"/>
      <c r="P932" s="193" t="str">
        <f>IF(R932 = "", "", COUNT(R$4:$R932))</f>
        <v/>
      </c>
      <c r="Q932" s="193" t="str">
        <f t="shared" si="141"/>
        <v/>
      </c>
      <c r="R932" s="194" t="str">
        <f t="shared" si="142"/>
        <v/>
      </c>
      <c r="S932" s="195" t="str">
        <f t="shared" si="144"/>
        <v/>
      </c>
      <c r="T932" s="196" t="str">
        <f t="shared" si="145"/>
        <v/>
      </c>
      <c r="U932" s="197" t="str">
        <f t="shared" si="146"/>
        <v/>
      </c>
      <c r="V932" s="198" t="str">
        <f t="shared" si="143"/>
        <v/>
      </c>
      <c r="W932" s="339" t="str">
        <f t="shared" si="147"/>
        <v/>
      </c>
      <c r="X932" s="341" t="str">
        <f t="shared" si="148"/>
        <v/>
      </c>
      <c r="Y932" s="277"/>
      <c r="AR932" t="str">
        <f t="shared" si="149"/>
        <v/>
      </c>
      <c r="AS932" t="str">
        <f t="shared" si="150"/>
        <v/>
      </c>
    </row>
    <row r="933" spans="1:45">
      <c r="A933" s="294"/>
      <c r="B933" s="295"/>
      <c r="C933" s="296"/>
      <c r="D933" s="296"/>
      <c r="E933" s="296"/>
      <c r="F933" s="296"/>
      <c r="G933" s="297"/>
      <c r="H933" s="303"/>
      <c r="I933" s="298"/>
      <c r="J933" s="298"/>
      <c r="K933" s="299"/>
      <c r="L933" s="304"/>
      <c r="M933" s="300"/>
      <c r="N933" s="301"/>
      <c r="P933" s="193" t="str">
        <f>IF(R933 = "", "", COUNT(R$4:$R933))</f>
        <v/>
      </c>
      <c r="Q933" s="193" t="str">
        <f t="shared" si="141"/>
        <v/>
      </c>
      <c r="R933" s="194" t="str">
        <f t="shared" si="142"/>
        <v/>
      </c>
      <c r="S933" s="195" t="str">
        <f t="shared" si="144"/>
        <v/>
      </c>
      <c r="T933" s="196" t="str">
        <f t="shared" si="145"/>
        <v/>
      </c>
      <c r="U933" s="197" t="str">
        <f t="shared" si="146"/>
        <v/>
      </c>
      <c r="V933" s="198" t="str">
        <f t="shared" si="143"/>
        <v/>
      </c>
      <c r="W933" s="339" t="str">
        <f t="shared" si="147"/>
        <v/>
      </c>
      <c r="X933" s="341" t="str">
        <f t="shared" si="148"/>
        <v/>
      </c>
      <c r="Y933" s="277"/>
      <c r="AR933" t="str">
        <f t="shared" si="149"/>
        <v/>
      </c>
      <c r="AS933" t="str">
        <f t="shared" si="150"/>
        <v/>
      </c>
    </row>
    <row r="934" spans="1:45">
      <c r="A934" s="294"/>
      <c r="B934" s="295"/>
      <c r="C934" s="296"/>
      <c r="D934" s="296"/>
      <c r="E934" s="296"/>
      <c r="F934" s="296"/>
      <c r="G934" s="297"/>
      <c r="H934" s="303"/>
      <c r="I934" s="298"/>
      <c r="J934" s="298"/>
      <c r="K934" s="299"/>
      <c r="L934" s="304"/>
      <c r="M934" s="300"/>
      <c r="N934" s="301"/>
      <c r="P934" s="193" t="str">
        <f>IF(R934 = "", "", COUNT(R$4:$R934))</f>
        <v/>
      </c>
      <c r="Q934" s="193" t="str">
        <f t="shared" si="141"/>
        <v/>
      </c>
      <c r="R934" s="194" t="str">
        <f t="shared" si="142"/>
        <v/>
      </c>
      <c r="S934" s="195" t="str">
        <f t="shared" si="144"/>
        <v/>
      </c>
      <c r="T934" s="196" t="str">
        <f t="shared" si="145"/>
        <v/>
      </c>
      <c r="U934" s="197" t="str">
        <f t="shared" si="146"/>
        <v/>
      </c>
      <c r="V934" s="198" t="str">
        <f t="shared" si="143"/>
        <v/>
      </c>
      <c r="W934" s="339" t="str">
        <f t="shared" si="147"/>
        <v/>
      </c>
      <c r="X934" s="341" t="str">
        <f t="shared" si="148"/>
        <v/>
      </c>
      <c r="Y934" s="277"/>
      <c r="AR934" t="str">
        <f t="shared" si="149"/>
        <v/>
      </c>
      <c r="AS934" t="str">
        <f t="shared" si="150"/>
        <v/>
      </c>
    </row>
    <row r="935" spans="1:45">
      <c r="A935" s="294"/>
      <c r="B935" s="295"/>
      <c r="C935" s="296"/>
      <c r="D935" s="296"/>
      <c r="E935" s="296"/>
      <c r="F935" s="296"/>
      <c r="G935" s="297"/>
      <c r="H935" s="303"/>
      <c r="I935" s="298"/>
      <c r="J935" s="298"/>
      <c r="K935" s="299"/>
      <c r="L935" s="304"/>
      <c r="M935" s="300"/>
      <c r="N935" s="301"/>
      <c r="P935" s="193" t="str">
        <f>IF(R935 = "", "", COUNT(R$4:$R935))</f>
        <v/>
      </c>
      <c r="Q935" s="193" t="str">
        <f t="shared" si="141"/>
        <v/>
      </c>
      <c r="R935" s="194" t="str">
        <f t="shared" si="142"/>
        <v/>
      </c>
      <c r="S935" s="195" t="str">
        <f t="shared" si="144"/>
        <v/>
      </c>
      <c r="T935" s="196" t="str">
        <f t="shared" si="145"/>
        <v/>
      </c>
      <c r="U935" s="197" t="str">
        <f t="shared" si="146"/>
        <v/>
      </c>
      <c r="V935" s="198" t="str">
        <f t="shared" si="143"/>
        <v/>
      </c>
      <c r="W935" s="339" t="str">
        <f t="shared" si="147"/>
        <v/>
      </c>
      <c r="X935" s="341" t="str">
        <f t="shared" si="148"/>
        <v/>
      </c>
      <c r="Y935" s="277"/>
      <c r="AR935" t="str">
        <f t="shared" si="149"/>
        <v/>
      </c>
      <c r="AS935" t="str">
        <f t="shared" si="150"/>
        <v/>
      </c>
    </row>
    <row r="936" spans="1:45">
      <c r="A936" s="294"/>
      <c r="B936" s="295"/>
      <c r="C936" s="296"/>
      <c r="D936" s="296"/>
      <c r="E936" s="296"/>
      <c r="F936" s="296"/>
      <c r="G936" s="297"/>
      <c r="H936" s="303"/>
      <c r="I936" s="298"/>
      <c r="J936" s="298"/>
      <c r="K936" s="299"/>
      <c r="L936" s="304"/>
      <c r="M936" s="300"/>
      <c r="N936" s="301"/>
      <c r="P936" s="193" t="str">
        <f>IF(R936 = "", "", COUNT(R$4:$R936))</f>
        <v/>
      </c>
      <c r="Q936" s="193" t="str">
        <f t="shared" si="141"/>
        <v/>
      </c>
      <c r="R936" s="194" t="str">
        <f t="shared" si="142"/>
        <v/>
      </c>
      <c r="S936" s="195" t="str">
        <f t="shared" si="144"/>
        <v/>
      </c>
      <c r="T936" s="196" t="str">
        <f t="shared" si="145"/>
        <v/>
      </c>
      <c r="U936" s="197" t="str">
        <f t="shared" si="146"/>
        <v/>
      </c>
      <c r="V936" s="198" t="str">
        <f t="shared" si="143"/>
        <v/>
      </c>
      <c r="W936" s="339" t="str">
        <f t="shared" si="147"/>
        <v/>
      </c>
      <c r="X936" s="341" t="str">
        <f t="shared" si="148"/>
        <v/>
      </c>
      <c r="Y936" s="277"/>
      <c r="AR936" t="str">
        <f t="shared" si="149"/>
        <v/>
      </c>
      <c r="AS936" t="str">
        <f t="shared" si="150"/>
        <v/>
      </c>
    </row>
    <row r="937" spans="1:45">
      <c r="A937" s="294"/>
      <c r="B937" s="295"/>
      <c r="C937" s="296"/>
      <c r="D937" s="296"/>
      <c r="E937" s="296"/>
      <c r="F937" s="296"/>
      <c r="G937" s="297"/>
      <c r="H937" s="303"/>
      <c r="I937" s="298"/>
      <c r="J937" s="298"/>
      <c r="K937" s="299"/>
      <c r="L937" s="304"/>
      <c r="M937" s="300"/>
      <c r="N937" s="301"/>
      <c r="P937" s="193" t="str">
        <f>IF(R937 = "", "", COUNT(R$4:$R937))</f>
        <v/>
      </c>
      <c r="Q937" s="193" t="str">
        <f t="shared" si="141"/>
        <v/>
      </c>
      <c r="R937" s="194" t="str">
        <f t="shared" si="142"/>
        <v/>
      </c>
      <c r="S937" s="195" t="str">
        <f t="shared" si="144"/>
        <v/>
      </c>
      <c r="T937" s="196" t="str">
        <f t="shared" si="145"/>
        <v/>
      </c>
      <c r="U937" s="197" t="str">
        <f t="shared" si="146"/>
        <v/>
      </c>
      <c r="V937" s="198" t="str">
        <f t="shared" si="143"/>
        <v/>
      </c>
      <c r="W937" s="339" t="str">
        <f t="shared" si="147"/>
        <v/>
      </c>
      <c r="X937" s="341" t="str">
        <f t="shared" si="148"/>
        <v/>
      </c>
      <c r="Y937" s="277"/>
      <c r="AR937" t="str">
        <f t="shared" si="149"/>
        <v/>
      </c>
      <c r="AS937" t="str">
        <f t="shared" si="150"/>
        <v/>
      </c>
    </row>
    <row r="938" spans="1:45">
      <c r="A938" s="294"/>
      <c r="B938" s="295"/>
      <c r="C938" s="296"/>
      <c r="D938" s="296"/>
      <c r="E938" s="296"/>
      <c r="F938" s="296"/>
      <c r="G938" s="297"/>
      <c r="H938" s="303"/>
      <c r="I938" s="298"/>
      <c r="J938" s="298"/>
      <c r="K938" s="299"/>
      <c r="L938" s="304"/>
      <c r="M938" s="300"/>
      <c r="N938" s="301"/>
      <c r="P938" s="193" t="str">
        <f>IF(R938 = "", "", COUNT(R$4:$R938))</f>
        <v/>
      </c>
      <c r="Q938" s="193" t="str">
        <f t="shared" si="141"/>
        <v/>
      </c>
      <c r="R938" s="194" t="str">
        <f t="shared" si="142"/>
        <v/>
      </c>
      <c r="S938" s="195" t="str">
        <f t="shared" si="144"/>
        <v/>
      </c>
      <c r="T938" s="196" t="str">
        <f t="shared" si="145"/>
        <v/>
      </c>
      <c r="U938" s="197" t="str">
        <f t="shared" si="146"/>
        <v/>
      </c>
      <c r="V938" s="198" t="str">
        <f t="shared" si="143"/>
        <v/>
      </c>
      <c r="W938" s="339" t="str">
        <f t="shared" si="147"/>
        <v/>
      </c>
      <c r="X938" s="341" t="str">
        <f t="shared" si="148"/>
        <v/>
      </c>
      <c r="Y938" s="277"/>
      <c r="AR938" t="str">
        <f t="shared" si="149"/>
        <v/>
      </c>
      <c r="AS938" t="str">
        <f t="shared" si="150"/>
        <v/>
      </c>
    </row>
    <row r="939" spans="1:45">
      <c r="A939" s="294"/>
      <c r="B939" s="295"/>
      <c r="C939" s="296"/>
      <c r="D939" s="296"/>
      <c r="E939" s="296"/>
      <c r="F939" s="296"/>
      <c r="G939" s="297"/>
      <c r="H939" s="303"/>
      <c r="I939" s="298"/>
      <c r="J939" s="298"/>
      <c r="K939" s="299"/>
      <c r="L939" s="304"/>
      <c r="M939" s="300"/>
      <c r="N939" s="301"/>
      <c r="P939" s="193" t="str">
        <f>IF(R939 = "", "", COUNT(R$4:$R939))</f>
        <v/>
      </c>
      <c r="Q939" s="193" t="str">
        <f t="shared" si="141"/>
        <v/>
      </c>
      <c r="R939" s="194" t="str">
        <f t="shared" si="142"/>
        <v/>
      </c>
      <c r="S939" s="195" t="str">
        <f t="shared" si="144"/>
        <v/>
      </c>
      <c r="T939" s="196" t="str">
        <f t="shared" si="145"/>
        <v/>
      </c>
      <c r="U939" s="197" t="str">
        <f t="shared" si="146"/>
        <v/>
      </c>
      <c r="V939" s="198" t="str">
        <f t="shared" si="143"/>
        <v/>
      </c>
      <c r="W939" s="339" t="str">
        <f t="shared" si="147"/>
        <v/>
      </c>
      <c r="X939" s="341" t="str">
        <f t="shared" si="148"/>
        <v/>
      </c>
      <c r="Y939" s="277"/>
      <c r="AR939" t="str">
        <f t="shared" si="149"/>
        <v/>
      </c>
      <c r="AS939" t="str">
        <f t="shared" si="150"/>
        <v/>
      </c>
    </row>
    <row r="940" spans="1:45">
      <c r="A940" s="294"/>
      <c r="B940" s="295"/>
      <c r="C940" s="296"/>
      <c r="D940" s="296"/>
      <c r="E940" s="296"/>
      <c r="F940" s="296"/>
      <c r="G940" s="297"/>
      <c r="H940" s="303"/>
      <c r="I940" s="298"/>
      <c r="J940" s="298"/>
      <c r="K940" s="299"/>
      <c r="L940" s="304"/>
      <c r="M940" s="300"/>
      <c r="N940" s="301"/>
      <c r="P940" s="193" t="str">
        <f>IF(R940 = "", "", COUNT(R$4:$R940))</f>
        <v/>
      </c>
      <c r="Q940" s="193" t="str">
        <f t="shared" si="141"/>
        <v/>
      </c>
      <c r="R940" s="194" t="str">
        <f t="shared" si="142"/>
        <v/>
      </c>
      <c r="S940" s="195" t="str">
        <f t="shared" si="144"/>
        <v/>
      </c>
      <c r="T940" s="196" t="str">
        <f t="shared" si="145"/>
        <v/>
      </c>
      <c r="U940" s="197" t="str">
        <f t="shared" si="146"/>
        <v/>
      </c>
      <c r="V940" s="198" t="str">
        <f t="shared" si="143"/>
        <v/>
      </c>
      <c r="W940" s="339" t="str">
        <f t="shared" si="147"/>
        <v/>
      </c>
      <c r="X940" s="341" t="str">
        <f t="shared" si="148"/>
        <v/>
      </c>
      <c r="Y940" s="277"/>
      <c r="AR940" t="str">
        <f t="shared" si="149"/>
        <v/>
      </c>
      <c r="AS940" t="str">
        <f t="shared" si="150"/>
        <v/>
      </c>
    </row>
    <row r="941" spans="1:45">
      <c r="A941" s="294"/>
      <c r="B941" s="295"/>
      <c r="C941" s="296"/>
      <c r="D941" s="296"/>
      <c r="E941" s="296"/>
      <c r="F941" s="296"/>
      <c r="G941" s="297"/>
      <c r="H941" s="303"/>
      <c r="I941" s="298"/>
      <c r="J941" s="298"/>
      <c r="K941" s="299"/>
      <c r="L941" s="304"/>
      <c r="M941" s="300"/>
      <c r="N941" s="301"/>
      <c r="P941" s="193" t="str">
        <f>IF(R941 = "", "", COUNT(R$4:$R941))</f>
        <v/>
      </c>
      <c r="Q941" s="193" t="str">
        <f t="shared" si="141"/>
        <v/>
      </c>
      <c r="R941" s="194" t="str">
        <f t="shared" si="142"/>
        <v/>
      </c>
      <c r="S941" s="195" t="str">
        <f t="shared" si="144"/>
        <v/>
      </c>
      <c r="T941" s="196" t="str">
        <f t="shared" si="145"/>
        <v/>
      </c>
      <c r="U941" s="197" t="str">
        <f t="shared" si="146"/>
        <v/>
      </c>
      <c r="V941" s="198" t="str">
        <f t="shared" si="143"/>
        <v/>
      </c>
      <c r="W941" s="339" t="str">
        <f t="shared" si="147"/>
        <v/>
      </c>
      <c r="X941" s="341" t="str">
        <f t="shared" si="148"/>
        <v/>
      </c>
      <c r="Y941" s="277"/>
      <c r="AR941" t="str">
        <f t="shared" si="149"/>
        <v/>
      </c>
      <c r="AS941" t="str">
        <f t="shared" si="150"/>
        <v/>
      </c>
    </row>
    <row r="942" spans="1:45">
      <c r="A942" s="294"/>
      <c r="B942" s="295"/>
      <c r="C942" s="296"/>
      <c r="D942" s="296"/>
      <c r="E942" s="296"/>
      <c r="F942" s="296"/>
      <c r="G942" s="297"/>
      <c r="H942" s="303"/>
      <c r="I942" s="298"/>
      <c r="J942" s="298"/>
      <c r="K942" s="299"/>
      <c r="L942" s="304"/>
      <c r="M942" s="300"/>
      <c r="N942" s="301"/>
      <c r="P942" s="193" t="str">
        <f>IF(R942 = "", "", COUNT(R$4:$R942))</f>
        <v/>
      </c>
      <c r="Q942" s="193" t="str">
        <f t="shared" si="141"/>
        <v/>
      </c>
      <c r="R942" s="194" t="str">
        <f t="shared" si="142"/>
        <v/>
      </c>
      <c r="S942" s="195" t="str">
        <f t="shared" si="144"/>
        <v/>
      </c>
      <c r="T942" s="196" t="str">
        <f t="shared" si="145"/>
        <v/>
      </c>
      <c r="U942" s="197" t="str">
        <f t="shared" si="146"/>
        <v/>
      </c>
      <c r="V942" s="198" t="str">
        <f t="shared" si="143"/>
        <v/>
      </c>
      <c r="W942" s="339" t="str">
        <f t="shared" si="147"/>
        <v/>
      </c>
      <c r="X942" s="341" t="str">
        <f t="shared" si="148"/>
        <v/>
      </c>
      <c r="Y942" s="277"/>
      <c r="AR942" t="str">
        <f t="shared" si="149"/>
        <v/>
      </c>
      <c r="AS942" t="str">
        <f t="shared" si="150"/>
        <v/>
      </c>
    </row>
    <row r="943" spans="1:45">
      <c r="A943" s="294"/>
      <c r="B943" s="295"/>
      <c r="C943" s="296"/>
      <c r="D943" s="296"/>
      <c r="E943" s="296"/>
      <c r="F943" s="296"/>
      <c r="G943" s="297"/>
      <c r="H943" s="303"/>
      <c r="I943" s="298"/>
      <c r="J943" s="298"/>
      <c r="K943" s="299"/>
      <c r="L943" s="304"/>
      <c r="M943" s="300"/>
      <c r="N943" s="301"/>
      <c r="P943" s="193" t="str">
        <f>IF(R943 = "", "", COUNT(R$4:$R943))</f>
        <v/>
      </c>
      <c r="Q943" s="193" t="str">
        <f t="shared" si="141"/>
        <v/>
      </c>
      <c r="R943" s="194" t="str">
        <f t="shared" si="142"/>
        <v/>
      </c>
      <c r="S943" s="195" t="str">
        <f t="shared" si="144"/>
        <v/>
      </c>
      <c r="T943" s="196" t="str">
        <f t="shared" si="145"/>
        <v/>
      </c>
      <c r="U943" s="197" t="str">
        <f t="shared" si="146"/>
        <v/>
      </c>
      <c r="V943" s="198" t="str">
        <f t="shared" si="143"/>
        <v/>
      </c>
      <c r="W943" s="339" t="str">
        <f t="shared" si="147"/>
        <v/>
      </c>
      <c r="X943" s="341" t="str">
        <f t="shared" si="148"/>
        <v/>
      </c>
      <c r="Y943" s="277"/>
      <c r="AR943" t="str">
        <f t="shared" si="149"/>
        <v/>
      </c>
      <c r="AS943" t="str">
        <f t="shared" si="150"/>
        <v/>
      </c>
    </row>
    <row r="944" spans="1:45">
      <c r="A944" s="294"/>
      <c r="B944" s="295"/>
      <c r="C944" s="296"/>
      <c r="D944" s="296"/>
      <c r="E944" s="296"/>
      <c r="F944" s="296"/>
      <c r="G944" s="297"/>
      <c r="H944" s="303"/>
      <c r="I944" s="298"/>
      <c r="J944" s="298"/>
      <c r="K944" s="299"/>
      <c r="L944" s="304"/>
      <c r="M944" s="300"/>
      <c r="N944" s="301"/>
      <c r="P944" s="193" t="str">
        <f>IF(R944 = "", "", COUNT(R$4:$R944))</f>
        <v/>
      </c>
      <c r="Q944" s="193" t="str">
        <f t="shared" si="141"/>
        <v/>
      </c>
      <c r="R944" s="194" t="str">
        <f t="shared" si="142"/>
        <v/>
      </c>
      <c r="S944" s="195" t="str">
        <f t="shared" si="144"/>
        <v/>
      </c>
      <c r="T944" s="196" t="str">
        <f t="shared" si="145"/>
        <v/>
      </c>
      <c r="U944" s="197" t="str">
        <f t="shared" si="146"/>
        <v/>
      </c>
      <c r="V944" s="198" t="str">
        <f t="shared" si="143"/>
        <v/>
      </c>
      <c r="W944" s="339" t="str">
        <f t="shared" si="147"/>
        <v/>
      </c>
      <c r="X944" s="341" t="str">
        <f t="shared" si="148"/>
        <v/>
      </c>
      <c r="Y944" s="277"/>
      <c r="AR944" t="str">
        <f t="shared" si="149"/>
        <v/>
      </c>
      <c r="AS944" t="str">
        <f t="shared" si="150"/>
        <v/>
      </c>
    </row>
    <row r="945" spans="1:45">
      <c r="A945" s="294"/>
      <c r="B945" s="295"/>
      <c r="C945" s="296"/>
      <c r="D945" s="296"/>
      <c r="E945" s="296"/>
      <c r="F945" s="296"/>
      <c r="G945" s="297"/>
      <c r="H945" s="303"/>
      <c r="I945" s="298"/>
      <c r="J945" s="298"/>
      <c r="K945" s="299"/>
      <c r="L945" s="304"/>
      <c r="M945" s="300"/>
      <c r="N945" s="301"/>
      <c r="P945" s="193" t="str">
        <f>IF(R945 = "", "", COUNT(R$4:$R945))</f>
        <v/>
      </c>
      <c r="Q945" s="193" t="str">
        <f t="shared" si="141"/>
        <v/>
      </c>
      <c r="R945" s="194" t="str">
        <f t="shared" si="142"/>
        <v/>
      </c>
      <c r="S945" s="195" t="str">
        <f t="shared" si="144"/>
        <v/>
      </c>
      <c r="T945" s="196" t="str">
        <f t="shared" si="145"/>
        <v/>
      </c>
      <c r="U945" s="197" t="str">
        <f t="shared" si="146"/>
        <v/>
      </c>
      <c r="V945" s="198" t="str">
        <f t="shared" si="143"/>
        <v/>
      </c>
      <c r="W945" s="339" t="str">
        <f t="shared" si="147"/>
        <v/>
      </c>
      <c r="X945" s="341" t="str">
        <f t="shared" si="148"/>
        <v/>
      </c>
      <c r="Y945" s="277"/>
      <c r="AR945" t="str">
        <f t="shared" si="149"/>
        <v/>
      </c>
      <c r="AS945" t="str">
        <f t="shared" si="150"/>
        <v/>
      </c>
    </row>
    <row r="946" spans="1:45">
      <c r="A946" s="294"/>
      <c r="B946" s="295"/>
      <c r="C946" s="296"/>
      <c r="D946" s="296"/>
      <c r="E946" s="296"/>
      <c r="F946" s="296"/>
      <c r="G946" s="297"/>
      <c r="H946" s="303"/>
      <c r="I946" s="298"/>
      <c r="J946" s="298"/>
      <c r="K946" s="299"/>
      <c r="L946" s="304"/>
      <c r="M946" s="300"/>
      <c r="N946" s="301"/>
      <c r="P946" s="193" t="str">
        <f>IF(R946 = "", "", COUNT(R$4:$R946))</f>
        <v/>
      </c>
      <c r="Q946" s="193" t="str">
        <f t="shared" si="141"/>
        <v/>
      </c>
      <c r="R946" s="194" t="str">
        <f t="shared" si="142"/>
        <v/>
      </c>
      <c r="S946" s="195" t="str">
        <f t="shared" si="144"/>
        <v/>
      </c>
      <c r="T946" s="196" t="str">
        <f t="shared" si="145"/>
        <v/>
      </c>
      <c r="U946" s="197" t="str">
        <f t="shared" si="146"/>
        <v/>
      </c>
      <c r="V946" s="198" t="str">
        <f t="shared" si="143"/>
        <v/>
      </c>
      <c r="W946" s="339" t="str">
        <f t="shared" si="147"/>
        <v/>
      </c>
      <c r="X946" s="341" t="str">
        <f t="shared" si="148"/>
        <v/>
      </c>
      <c r="Y946" s="277"/>
      <c r="AR946" t="str">
        <f t="shared" si="149"/>
        <v/>
      </c>
      <c r="AS946" t="str">
        <f t="shared" si="150"/>
        <v/>
      </c>
    </row>
    <row r="947" spans="1:45">
      <c r="A947" s="294"/>
      <c r="B947" s="295"/>
      <c r="C947" s="296"/>
      <c r="D947" s="296"/>
      <c r="E947" s="296"/>
      <c r="F947" s="296"/>
      <c r="G947" s="297"/>
      <c r="H947" s="303"/>
      <c r="I947" s="298"/>
      <c r="J947" s="298"/>
      <c r="K947" s="299"/>
      <c r="L947" s="304"/>
      <c r="M947" s="300"/>
      <c r="N947" s="301"/>
      <c r="P947" s="193" t="str">
        <f>IF(R947 = "", "", COUNT(R$4:$R947))</f>
        <v/>
      </c>
      <c r="Q947" s="193" t="str">
        <f t="shared" si="141"/>
        <v/>
      </c>
      <c r="R947" s="194" t="str">
        <f t="shared" si="142"/>
        <v/>
      </c>
      <c r="S947" s="195" t="str">
        <f t="shared" si="144"/>
        <v/>
      </c>
      <c r="T947" s="196" t="str">
        <f t="shared" si="145"/>
        <v/>
      </c>
      <c r="U947" s="197" t="str">
        <f t="shared" si="146"/>
        <v/>
      </c>
      <c r="V947" s="198" t="str">
        <f t="shared" si="143"/>
        <v/>
      </c>
      <c r="W947" s="339" t="str">
        <f t="shared" si="147"/>
        <v/>
      </c>
      <c r="X947" s="341" t="str">
        <f t="shared" si="148"/>
        <v/>
      </c>
      <c r="Y947" s="277"/>
      <c r="AR947" t="str">
        <f t="shared" si="149"/>
        <v/>
      </c>
      <c r="AS947" t="str">
        <f t="shared" si="150"/>
        <v/>
      </c>
    </row>
    <row r="948" spans="1:45">
      <c r="A948" s="294"/>
      <c r="B948" s="295"/>
      <c r="C948" s="296"/>
      <c r="D948" s="296"/>
      <c r="E948" s="296"/>
      <c r="F948" s="296"/>
      <c r="G948" s="297"/>
      <c r="H948" s="303"/>
      <c r="I948" s="298"/>
      <c r="J948" s="298"/>
      <c r="K948" s="299"/>
      <c r="L948" s="304"/>
      <c r="M948" s="300"/>
      <c r="N948" s="301"/>
      <c r="P948" s="193" t="str">
        <f>IF(R948 = "", "", COUNT(R$4:$R948))</f>
        <v/>
      </c>
      <c r="Q948" s="193" t="str">
        <f t="shared" si="141"/>
        <v/>
      </c>
      <c r="R948" s="194" t="str">
        <f t="shared" si="142"/>
        <v/>
      </c>
      <c r="S948" s="195" t="str">
        <f t="shared" si="144"/>
        <v/>
      </c>
      <c r="T948" s="196" t="str">
        <f t="shared" si="145"/>
        <v/>
      </c>
      <c r="U948" s="197" t="str">
        <f t="shared" si="146"/>
        <v/>
      </c>
      <c r="V948" s="198" t="str">
        <f t="shared" si="143"/>
        <v/>
      </c>
      <c r="W948" s="339" t="str">
        <f t="shared" si="147"/>
        <v/>
      </c>
      <c r="X948" s="341" t="str">
        <f t="shared" si="148"/>
        <v/>
      </c>
      <c r="Y948" s="277"/>
      <c r="AR948" t="str">
        <f t="shared" si="149"/>
        <v/>
      </c>
      <c r="AS948" t="str">
        <f t="shared" si="150"/>
        <v/>
      </c>
    </row>
    <row r="949" spans="1:45">
      <c r="A949" s="294"/>
      <c r="B949" s="295"/>
      <c r="C949" s="296"/>
      <c r="D949" s="296"/>
      <c r="E949" s="296"/>
      <c r="F949" s="296"/>
      <c r="G949" s="297"/>
      <c r="H949" s="303"/>
      <c r="I949" s="298"/>
      <c r="J949" s="298"/>
      <c r="K949" s="299"/>
      <c r="L949" s="304"/>
      <c r="M949" s="300"/>
      <c r="N949" s="301"/>
      <c r="P949" s="193" t="str">
        <f>IF(R949 = "", "", COUNT(R$4:$R949))</f>
        <v/>
      </c>
      <c r="Q949" s="193" t="str">
        <f t="shared" si="141"/>
        <v/>
      </c>
      <c r="R949" s="194" t="str">
        <f t="shared" si="142"/>
        <v/>
      </c>
      <c r="S949" s="195" t="str">
        <f t="shared" si="144"/>
        <v/>
      </c>
      <c r="T949" s="196" t="str">
        <f t="shared" si="145"/>
        <v/>
      </c>
      <c r="U949" s="197" t="str">
        <f t="shared" si="146"/>
        <v/>
      </c>
      <c r="V949" s="198" t="str">
        <f t="shared" si="143"/>
        <v/>
      </c>
      <c r="W949" s="339" t="str">
        <f t="shared" si="147"/>
        <v/>
      </c>
      <c r="X949" s="341" t="str">
        <f t="shared" si="148"/>
        <v/>
      </c>
      <c r="Y949" s="277"/>
      <c r="AR949" t="str">
        <f t="shared" si="149"/>
        <v/>
      </c>
      <c r="AS949" t="str">
        <f t="shared" si="150"/>
        <v/>
      </c>
    </row>
    <row r="950" spans="1:45">
      <c r="A950" s="294"/>
      <c r="B950" s="295"/>
      <c r="C950" s="296"/>
      <c r="D950" s="296"/>
      <c r="E950" s="296"/>
      <c r="F950" s="296"/>
      <c r="G950" s="297"/>
      <c r="H950" s="303"/>
      <c r="I950" s="298"/>
      <c r="J950" s="298"/>
      <c r="K950" s="299"/>
      <c r="L950" s="304"/>
      <c r="M950" s="300"/>
      <c r="N950" s="301"/>
      <c r="P950" s="193" t="str">
        <f>IF(R950 = "", "", COUNT(R$4:$R950))</f>
        <v/>
      </c>
      <c r="Q950" s="193" t="str">
        <f t="shared" si="141"/>
        <v/>
      </c>
      <c r="R950" s="194" t="str">
        <f t="shared" si="142"/>
        <v/>
      </c>
      <c r="S950" s="195" t="str">
        <f t="shared" si="144"/>
        <v/>
      </c>
      <c r="T950" s="196" t="str">
        <f t="shared" si="145"/>
        <v/>
      </c>
      <c r="U950" s="197" t="str">
        <f t="shared" si="146"/>
        <v/>
      </c>
      <c r="V950" s="198" t="str">
        <f t="shared" si="143"/>
        <v/>
      </c>
      <c r="W950" s="339" t="str">
        <f t="shared" si="147"/>
        <v/>
      </c>
      <c r="X950" s="341" t="str">
        <f t="shared" si="148"/>
        <v/>
      </c>
      <c r="Y950" s="277"/>
      <c r="AR950" t="str">
        <f t="shared" si="149"/>
        <v/>
      </c>
      <c r="AS950" t="str">
        <f t="shared" si="150"/>
        <v/>
      </c>
    </row>
    <row r="951" spans="1:45">
      <c r="A951" s="294"/>
      <c r="B951" s="295"/>
      <c r="C951" s="296"/>
      <c r="D951" s="296"/>
      <c r="E951" s="296"/>
      <c r="F951" s="296"/>
      <c r="G951" s="297"/>
      <c r="H951" s="303"/>
      <c r="I951" s="298"/>
      <c r="J951" s="298"/>
      <c r="K951" s="299"/>
      <c r="L951" s="304"/>
      <c r="M951" s="300"/>
      <c r="N951" s="301"/>
      <c r="P951" s="193" t="str">
        <f>IF(R951 = "", "", COUNT(R$4:$R951))</f>
        <v/>
      </c>
      <c r="Q951" s="193" t="str">
        <f t="shared" si="141"/>
        <v/>
      </c>
      <c r="R951" s="194" t="str">
        <f t="shared" si="142"/>
        <v/>
      </c>
      <c r="S951" s="195" t="str">
        <f t="shared" si="144"/>
        <v/>
      </c>
      <c r="T951" s="196" t="str">
        <f t="shared" si="145"/>
        <v/>
      </c>
      <c r="U951" s="197" t="str">
        <f t="shared" si="146"/>
        <v/>
      </c>
      <c r="V951" s="198" t="str">
        <f t="shared" si="143"/>
        <v/>
      </c>
      <c r="W951" s="339" t="str">
        <f t="shared" si="147"/>
        <v/>
      </c>
      <c r="X951" s="341" t="str">
        <f t="shared" si="148"/>
        <v/>
      </c>
      <c r="Y951" s="277"/>
      <c r="AR951" t="str">
        <f t="shared" si="149"/>
        <v/>
      </c>
      <c r="AS951" t="str">
        <f t="shared" si="150"/>
        <v/>
      </c>
    </row>
    <row r="952" spans="1:45">
      <c r="A952" s="294"/>
      <c r="B952" s="295"/>
      <c r="C952" s="296"/>
      <c r="D952" s="296"/>
      <c r="E952" s="296"/>
      <c r="F952" s="296"/>
      <c r="G952" s="297"/>
      <c r="H952" s="303"/>
      <c r="I952" s="298"/>
      <c r="J952" s="298"/>
      <c r="K952" s="299"/>
      <c r="L952" s="304"/>
      <c r="M952" s="300"/>
      <c r="N952" s="301"/>
      <c r="P952" s="193" t="str">
        <f>IF(R952 = "", "", COUNT(R$4:$R952))</f>
        <v/>
      </c>
      <c r="Q952" s="193" t="str">
        <f t="shared" si="141"/>
        <v/>
      </c>
      <c r="R952" s="194" t="str">
        <f t="shared" si="142"/>
        <v/>
      </c>
      <c r="S952" s="195" t="str">
        <f t="shared" si="144"/>
        <v/>
      </c>
      <c r="T952" s="196" t="str">
        <f t="shared" si="145"/>
        <v/>
      </c>
      <c r="U952" s="197" t="str">
        <f t="shared" si="146"/>
        <v/>
      </c>
      <c r="V952" s="198" t="str">
        <f t="shared" si="143"/>
        <v/>
      </c>
      <c r="W952" s="339" t="str">
        <f t="shared" si="147"/>
        <v/>
      </c>
      <c r="X952" s="341" t="str">
        <f t="shared" si="148"/>
        <v/>
      </c>
      <c r="Y952" s="277"/>
      <c r="AR952" t="str">
        <f t="shared" si="149"/>
        <v/>
      </c>
      <c r="AS952" t="str">
        <f t="shared" si="150"/>
        <v/>
      </c>
    </row>
    <row r="953" spans="1:45">
      <c r="A953" s="294"/>
      <c r="B953" s="295"/>
      <c r="C953" s="296"/>
      <c r="D953" s="296"/>
      <c r="E953" s="296"/>
      <c r="F953" s="296"/>
      <c r="G953" s="297"/>
      <c r="H953" s="303"/>
      <c r="I953" s="298"/>
      <c r="J953" s="298"/>
      <c r="K953" s="299"/>
      <c r="L953" s="304"/>
      <c r="M953" s="300"/>
      <c r="N953" s="301"/>
      <c r="P953" s="193" t="str">
        <f>IF(R953 = "", "", COUNT(R$4:$R953))</f>
        <v/>
      </c>
      <c r="Q953" s="193" t="str">
        <f t="shared" si="141"/>
        <v/>
      </c>
      <c r="R953" s="194" t="str">
        <f t="shared" si="142"/>
        <v/>
      </c>
      <c r="S953" s="195" t="str">
        <f t="shared" si="144"/>
        <v/>
      </c>
      <c r="T953" s="196" t="str">
        <f t="shared" si="145"/>
        <v/>
      </c>
      <c r="U953" s="197" t="str">
        <f t="shared" si="146"/>
        <v/>
      </c>
      <c r="V953" s="198" t="str">
        <f t="shared" si="143"/>
        <v/>
      </c>
      <c r="W953" s="339" t="str">
        <f t="shared" si="147"/>
        <v/>
      </c>
      <c r="X953" s="341" t="str">
        <f t="shared" si="148"/>
        <v/>
      </c>
      <c r="Y953" s="277"/>
      <c r="AR953" t="str">
        <f t="shared" si="149"/>
        <v/>
      </c>
      <c r="AS953" t="str">
        <f t="shared" si="150"/>
        <v/>
      </c>
    </row>
    <row r="954" spans="1:45">
      <c r="A954" s="294"/>
      <c r="B954" s="295"/>
      <c r="C954" s="296"/>
      <c r="D954" s="296"/>
      <c r="E954" s="296"/>
      <c r="F954" s="296"/>
      <c r="G954" s="297"/>
      <c r="H954" s="303"/>
      <c r="I954" s="298"/>
      <c r="J954" s="298"/>
      <c r="K954" s="299"/>
      <c r="L954" s="304"/>
      <c r="M954" s="300"/>
      <c r="N954" s="301"/>
      <c r="P954" s="193" t="str">
        <f>IF(R954 = "", "", COUNT(R$4:$R954))</f>
        <v/>
      </c>
      <c r="Q954" s="193" t="str">
        <f t="shared" si="141"/>
        <v/>
      </c>
      <c r="R954" s="194" t="str">
        <f t="shared" si="142"/>
        <v/>
      </c>
      <c r="S954" s="195" t="str">
        <f t="shared" si="144"/>
        <v/>
      </c>
      <c r="T954" s="196" t="str">
        <f t="shared" si="145"/>
        <v/>
      </c>
      <c r="U954" s="197" t="str">
        <f t="shared" si="146"/>
        <v/>
      </c>
      <c r="V954" s="198" t="str">
        <f t="shared" si="143"/>
        <v/>
      </c>
      <c r="W954" s="339" t="str">
        <f t="shared" si="147"/>
        <v/>
      </c>
      <c r="X954" s="341" t="str">
        <f t="shared" si="148"/>
        <v/>
      </c>
      <c r="Y954" s="277"/>
      <c r="AR954" t="str">
        <f t="shared" si="149"/>
        <v/>
      </c>
      <c r="AS954" t="str">
        <f t="shared" si="150"/>
        <v/>
      </c>
    </row>
    <row r="955" spans="1:45">
      <c r="A955" s="294"/>
      <c r="B955" s="295"/>
      <c r="C955" s="296"/>
      <c r="D955" s="296"/>
      <c r="E955" s="296"/>
      <c r="F955" s="296"/>
      <c r="G955" s="297"/>
      <c r="H955" s="303"/>
      <c r="I955" s="298"/>
      <c r="J955" s="298"/>
      <c r="K955" s="299"/>
      <c r="L955" s="304"/>
      <c r="M955" s="300"/>
      <c r="N955" s="301"/>
      <c r="P955" s="193" t="str">
        <f>IF(R955 = "", "", COUNT(R$4:$R955))</f>
        <v/>
      </c>
      <c r="Q955" s="193" t="str">
        <f t="shared" si="141"/>
        <v/>
      </c>
      <c r="R955" s="194" t="str">
        <f t="shared" si="142"/>
        <v/>
      </c>
      <c r="S955" s="195" t="str">
        <f t="shared" si="144"/>
        <v/>
      </c>
      <c r="T955" s="196" t="str">
        <f t="shared" si="145"/>
        <v/>
      </c>
      <c r="U955" s="197" t="str">
        <f t="shared" si="146"/>
        <v/>
      </c>
      <c r="V955" s="198" t="str">
        <f t="shared" si="143"/>
        <v/>
      </c>
      <c r="W955" s="339" t="str">
        <f t="shared" si="147"/>
        <v/>
      </c>
      <c r="X955" s="341" t="str">
        <f t="shared" si="148"/>
        <v/>
      </c>
      <c r="Y955" s="277"/>
      <c r="AR955" t="str">
        <f t="shared" si="149"/>
        <v/>
      </c>
      <c r="AS955" t="str">
        <f t="shared" si="150"/>
        <v/>
      </c>
    </row>
    <row r="956" spans="1:45">
      <c r="A956" s="294"/>
      <c r="B956" s="295"/>
      <c r="C956" s="296"/>
      <c r="D956" s="296"/>
      <c r="E956" s="296"/>
      <c r="F956" s="296"/>
      <c r="G956" s="297"/>
      <c r="H956" s="303"/>
      <c r="I956" s="298"/>
      <c r="J956" s="298"/>
      <c r="K956" s="299"/>
      <c r="L956" s="304"/>
      <c r="M956" s="300"/>
      <c r="N956" s="301"/>
      <c r="P956" s="193" t="str">
        <f>IF(R956 = "", "", COUNT(R$4:$R956))</f>
        <v/>
      </c>
      <c r="Q956" s="193" t="str">
        <f t="shared" si="141"/>
        <v/>
      </c>
      <c r="R956" s="194" t="str">
        <f t="shared" si="142"/>
        <v/>
      </c>
      <c r="S956" s="195" t="str">
        <f t="shared" si="144"/>
        <v/>
      </c>
      <c r="T956" s="196" t="str">
        <f t="shared" si="145"/>
        <v/>
      </c>
      <c r="U956" s="197" t="str">
        <f t="shared" si="146"/>
        <v/>
      </c>
      <c r="V956" s="198" t="str">
        <f t="shared" si="143"/>
        <v/>
      </c>
      <c r="W956" s="339" t="str">
        <f t="shared" si="147"/>
        <v/>
      </c>
      <c r="X956" s="341" t="str">
        <f t="shared" si="148"/>
        <v/>
      </c>
      <c r="Y956" s="277"/>
      <c r="AR956" t="str">
        <f t="shared" si="149"/>
        <v/>
      </c>
      <c r="AS956" t="str">
        <f t="shared" si="150"/>
        <v/>
      </c>
    </row>
    <row r="957" spans="1:45">
      <c r="A957" s="294"/>
      <c r="B957" s="295"/>
      <c r="C957" s="296"/>
      <c r="D957" s="296"/>
      <c r="E957" s="296"/>
      <c r="F957" s="296"/>
      <c r="G957" s="297"/>
      <c r="H957" s="303"/>
      <c r="I957" s="298"/>
      <c r="J957" s="298"/>
      <c r="K957" s="299"/>
      <c r="L957" s="304"/>
      <c r="M957" s="300"/>
      <c r="N957" s="301"/>
      <c r="P957" s="193" t="str">
        <f>IF(R957 = "", "", COUNT(R$4:$R957))</f>
        <v/>
      </c>
      <c r="Q957" s="193" t="str">
        <f t="shared" si="141"/>
        <v/>
      </c>
      <c r="R957" s="194" t="str">
        <f t="shared" si="142"/>
        <v/>
      </c>
      <c r="S957" s="195" t="str">
        <f t="shared" si="144"/>
        <v/>
      </c>
      <c r="T957" s="196" t="str">
        <f t="shared" si="145"/>
        <v/>
      </c>
      <c r="U957" s="197" t="str">
        <f t="shared" si="146"/>
        <v/>
      </c>
      <c r="V957" s="198" t="str">
        <f t="shared" si="143"/>
        <v/>
      </c>
      <c r="W957" s="339" t="str">
        <f t="shared" si="147"/>
        <v/>
      </c>
      <c r="X957" s="341" t="str">
        <f t="shared" si="148"/>
        <v/>
      </c>
      <c r="Y957" s="277"/>
      <c r="AR957" t="str">
        <f t="shared" si="149"/>
        <v/>
      </c>
      <c r="AS957" t="str">
        <f t="shared" si="150"/>
        <v/>
      </c>
    </row>
    <row r="958" spans="1:45">
      <c r="A958" s="294"/>
      <c r="B958" s="295"/>
      <c r="C958" s="296"/>
      <c r="D958" s="296"/>
      <c r="E958" s="296"/>
      <c r="F958" s="296"/>
      <c r="G958" s="297"/>
      <c r="H958" s="303"/>
      <c r="I958" s="298"/>
      <c r="J958" s="298"/>
      <c r="K958" s="299"/>
      <c r="L958" s="304"/>
      <c r="M958" s="300"/>
      <c r="N958" s="301"/>
      <c r="P958" s="193" t="str">
        <f>IF(R958 = "", "", COUNT(R$4:$R958))</f>
        <v/>
      </c>
      <c r="Q958" s="193" t="str">
        <f t="shared" si="141"/>
        <v/>
      </c>
      <c r="R958" s="194" t="str">
        <f t="shared" si="142"/>
        <v/>
      </c>
      <c r="S958" s="195" t="str">
        <f t="shared" si="144"/>
        <v/>
      </c>
      <c r="T958" s="196" t="str">
        <f t="shared" si="145"/>
        <v/>
      </c>
      <c r="U958" s="197" t="str">
        <f t="shared" si="146"/>
        <v/>
      </c>
      <c r="V958" s="198" t="str">
        <f t="shared" si="143"/>
        <v/>
      </c>
      <c r="W958" s="339" t="str">
        <f t="shared" si="147"/>
        <v/>
      </c>
      <c r="X958" s="341" t="str">
        <f t="shared" si="148"/>
        <v/>
      </c>
      <c r="Y958" s="277"/>
      <c r="AR958" t="str">
        <f t="shared" si="149"/>
        <v/>
      </c>
      <c r="AS958" t="str">
        <f t="shared" si="150"/>
        <v/>
      </c>
    </row>
    <row r="959" spans="1:45">
      <c r="A959" s="294"/>
      <c r="B959" s="295"/>
      <c r="C959" s="296"/>
      <c r="D959" s="296"/>
      <c r="E959" s="296"/>
      <c r="F959" s="296"/>
      <c r="G959" s="297"/>
      <c r="H959" s="303"/>
      <c r="I959" s="298"/>
      <c r="J959" s="298"/>
      <c r="K959" s="299"/>
      <c r="L959" s="304"/>
      <c r="M959" s="300"/>
      <c r="N959" s="301"/>
      <c r="P959" s="193" t="str">
        <f>IF(R959 = "", "", COUNT(R$4:$R959))</f>
        <v/>
      </c>
      <c r="Q959" s="193" t="str">
        <f t="shared" si="141"/>
        <v/>
      </c>
      <c r="R959" s="194" t="str">
        <f t="shared" si="142"/>
        <v/>
      </c>
      <c r="S959" s="195" t="str">
        <f t="shared" si="144"/>
        <v/>
      </c>
      <c r="T959" s="196" t="str">
        <f t="shared" si="145"/>
        <v/>
      </c>
      <c r="U959" s="197" t="str">
        <f t="shared" si="146"/>
        <v/>
      </c>
      <c r="V959" s="198" t="str">
        <f t="shared" si="143"/>
        <v/>
      </c>
      <c r="W959" s="339" t="str">
        <f t="shared" si="147"/>
        <v/>
      </c>
      <c r="X959" s="341" t="str">
        <f t="shared" si="148"/>
        <v/>
      </c>
      <c r="Y959" s="277"/>
      <c r="AR959" t="str">
        <f t="shared" si="149"/>
        <v/>
      </c>
      <c r="AS959" t="str">
        <f t="shared" si="150"/>
        <v/>
      </c>
    </row>
    <row r="960" spans="1:45">
      <c r="A960" s="294"/>
      <c r="B960" s="295"/>
      <c r="C960" s="296"/>
      <c r="D960" s="296"/>
      <c r="E960" s="296"/>
      <c r="F960" s="296"/>
      <c r="G960" s="297"/>
      <c r="H960" s="303"/>
      <c r="I960" s="298"/>
      <c r="J960" s="298"/>
      <c r="K960" s="299"/>
      <c r="L960" s="304"/>
      <c r="M960" s="300"/>
      <c r="N960" s="301"/>
      <c r="P960" s="193" t="str">
        <f>IF(R960 = "", "", COUNT(R$4:$R960))</f>
        <v/>
      </c>
      <c r="Q960" s="193" t="str">
        <f t="shared" si="141"/>
        <v/>
      </c>
      <c r="R960" s="194" t="str">
        <f t="shared" si="142"/>
        <v/>
      </c>
      <c r="S960" s="195" t="str">
        <f t="shared" si="144"/>
        <v/>
      </c>
      <c r="T960" s="196" t="str">
        <f t="shared" si="145"/>
        <v/>
      </c>
      <c r="U960" s="197" t="str">
        <f t="shared" si="146"/>
        <v/>
      </c>
      <c r="V960" s="198" t="str">
        <f t="shared" si="143"/>
        <v/>
      </c>
      <c r="W960" s="339" t="str">
        <f t="shared" si="147"/>
        <v/>
      </c>
      <c r="X960" s="341" t="str">
        <f t="shared" si="148"/>
        <v/>
      </c>
      <c r="Y960" s="277"/>
      <c r="AR960" t="str">
        <f t="shared" si="149"/>
        <v/>
      </c>
      <c r="AS960" t="str">
        <f t="shared" si="150"/>
        <v/>
      </c>
    </row>
    <row r="961" spans="1:45">
      <c r="A961" s="294"/>
      <c r="B961" s="295"/>
      <c r="C961" s="296"/>
      <c r="D961" s="296"/>
      <c r="E961" s="296"/>
      <c r="F961" s="296"/>
      <c r="G961" s="297"/>
      <c r="H961" s="303"/>
      <c r="I961" s="298"/>
      <c r="J961" s="298"/>
      <c r="K961" s="299"/>
      <c r="L961" s="304"/>
      <c r="M961" s="300"/>
      <c r="N961" s="301"/>
      <c r="P961" s="193" t="str">
        <f>IF(R961 = "", "", COUNT(R$4:$R961))</f>
        <v/>
      </c>
      <c r="Q961" s="193" t="str">
        <f t="shared" si="141"/>
        <v/>
      </c>
      <c r="R961" s="194" t="str">
        <f t="shared" si="142"/>
        <v/>
      </c>
      <c r="S961" s="195" t="str">
        <f t="shared" si="144"/>
        <v/>
      </c>
      <c r="T961" s="196" t="str">
        <f t="shared" si="145"/>
        <v/>
      </c>
      <c r="U961" s="197" t="str">
        <f t="shared" si="146"/>
        <v/>
      </c>
      <c r="V961" s="198" t="str">
        <f t="shared" si="143"/>
        <v/>
      </c>
      <c r="W961" s="339" t="str">
        <f t="shared" si="147"/>
        <v/>
      </c>
      <c r="X961" s="341" t="str">
        <f t="shared" si="148"/>
        <v/>
      </c>
      <c r="Y961" s="277"/>
      <c r="AR961" t="str">
        <f t="shared" si="149"/>
        <v/>
      </c>
      <c r="AS961" t="str">
        <f t="shared" si="150"/>
        <v/>
      </c>
    </row>
    <row r="962" spans="1:45">
      <c r="A962" s="294"/>
      <c r="B962" s="295"/>
      <c r="C962" s="296"/>
      <c r="D962" s="296"/>
      <c r="E962" s="296"/>
      <c r="F962" s="296"/>
      <c r="G962" s="297"/>
      <c r="H962" s="303"/>
      <c r="I962" s="298"/>
      <c r="J962" s="298"/>
      <c r="K962" s="299"/>
      <c r="L962" s="304"/>
      <c r="M962" s="300"/>
      <c r="N962" s="301"/>
      <c r="P962" s="193" t="str">
        <f>IF(R962 = "", "", COUNT(R$4:$R962))</f>
        <v/>
      </c>
      <c r="Q962" s="193" t="str">
        <f t="shared" si="141"/>
        <v/>
      </c>
      <c r="R962" s="194" t="str">
        <f t="shared" si="142"/>
        <v/>
      </c>
      <c r="S962" s="195" t="str">
        <f t="shared" si="144"/>
        <v/>
      </c>
      <c r="T962" s="196" t="str">
        <f t="shared" si="145"/>
        <v/>
      </c>
      <c r="U962" s="197" t="str">
        <f t="shared" si="146"/>
        <v/>
      </c>
      <c r="V962" s="198" t="str">
        <f t="shared" si="143"/>
        <v/>
      </c>
      <c r="W962" s="339" t="str">
        <f t="shared" si="147"/>
        <v/>
      </c>
      <c r="X962" s="341" t="str">
        <f t="shared" si="148"/>
        <v/>
      </c>
      <c r="Y962" s="277"/>
      <c r="AR962" t="str">
        <f t="shared" si="149"/>
        <v/>
      </c>
      <c r="AS962" t="str">
        <f t="shared" si="150"/>
        <v/>
      </c>
    </row>
    <row r="963" spans="1:45">
      <c r="A963" s="294"/>
      <c r="B963" s="295"/>
      <c r="C963" s="296"/>
      <c r="D963" s="296"/>
      <c r="E963" s="296"/>
      <c r="F963" s="296"/>
      <c r="G963" s="297"/>
      <c r="H963" s="303"/>
      <c r="I963" s="298"/>
      <c r="J963" s="298"/>
      <c r="K963" s="299"/>
      <c r="L963" s="304"/>
      <c r="M963" s="300"/>
      <c r="N963" s="301"/>
      <c r="P963" s="193" t="str">
        <f>IF(R963 = "", "", COUNT(R$4:$R963))</f>
        <v/>
      </c>
      <c r="Q963" s="193" t="str">
        <f t="shared" si="141"/>
        <v/>
      </c>
      <c r="R963" s="194" t="str">
        <f t="shared" si="142"/>
        <v/>
      </c>
      <c r="S963" s="195" t="str">
        <f t="shared" si="144"/>
        <v/>
      </c>
      <c r="T963" s="196" t="str">
        <f t="shared" si="145"/>
        <v/>
      </c>
      <c r="U963" s="197" t="str">
        <f t="shared" si="146"/>
        <v/>
      </c>
      <c r="V963" s="198" t="str">
        <f t="shared" si="143"/>
        <v/>
      </c>
      <c r="W963" s="339" t="str">
        <f t="shared" si="147"/>
        <v/>
      </c>
      <c r="X963" s="341" t="str">
        <f t="shared" si="148"/>
        <v/>
      </c>
      <c r="Y963" s="277"/>
      <c r="AR963" t="str">
        <f t="shared" si="149"/>
        <v/>
      </c>
      <c r="AS963" t="str">
        <f t="shared" si="150"/>
        <v/>
      </c>
    </row>
    <row r="964" spans="1:45">
      <c r="A964" s="294"/>
      <c r="B964" s="295"/>
      <c r="C964" s="296"/>
      <c r="D964" s="296"/>
      <c r="E964" s="296"/>
      <c r="F964" s="296"/>
      <c r="G964" s="297"/>
      <c r="H964" s="303"/>
      <c r="I964" s="298"/>
      <c r="J964" s="298"/>
      <c r="K964" s="299"/>
      <c r="L964" s="304"/>
      <c r="M964" s="300"/>
      <c r="N964" s="301"/>
      <c r="P964" s="193" t="str">
        <f>IF(R964 = "", "", COUNT(R$4:$R964))</f>
        <v/>
      </c>
      <c r="Q964" s="193" t="str">
        <f t="shared" ref="Q964:Q1003" si="151">IF(C964 &gt; 0, YEAR(B964), "")</f>
        <v/>
      </c>
      <c r="R964" s="194" t="str">
        <f t="shared" ref="R964:R1003" si="152">IF(A964="", "", IF(G964="",1,IF(G964="O",1,IF(G964="C",8.4,IF(G964="B",8.4,IF(G964="A",76.8,IF(G964="K",76.8,"ERR")))))))</f>
        <v/>
      </c>
      <c r="S964" s="195" t="str">
        <f t="shared" si="144"/>
        <v/>
      </c>
      <c r="T964" s="196" t="str">
        <f t="shared" si="145"/>
        <v/>
      </c>
      <c r="U964" s="197" t="str">
        <f t="shared" si="146"/>
        <v/>
      </c>
      <c r="V964" s="198" t="str">
        <f t="shared" ref="V964:V1003" si="153">IF(IF(M964&lt;&gt;"",G964,"")=0, "O", IF(M964&lt;&gt;"",G964,""))</f>
        <v/>
      </c>
      <c r="W964" s="339" t="str">
        <f t="shared" si="147"/>
        <v/>
      </c>
      <c r="X964" s="341" t="str">
        <f t="shared" si="148"/>
        <v/>
      </c>
      <c r="Y964" s="277"/>
      <c r="AR964" t="str">
        <f t="shared" si="149"/>
        <v/>
      </c>
      <c r="AS964" t="str">
        <f t="shared" si="150"/>
        <v/>
      </c>
    </row>
    <row r="965" spans="1:45">
      <c r="A965" s="294"/>
      <c r="B965" s="295"/>
      <c r="C965" s="296"/>
      <c r="D965" s="296"/>
      <c r="E965" s="296"/>
      <c r="F965" s="296"/>
      <c r="G965" s="297"/>
      <c r="H965" s="303"/>
      <c r="I965" s="298"/>
      <c r="J965" s="298"/>
      <c r="K965" s="299"/>
      <c r="L965" s="304"/>
      <c r="M965" s="300"/>
      <c r="N965" s="301"/>
      <c r="P965" s="193" t="str">
        <f>IF(R965 = "", "", COUNT(R$4:$R965))</f>
        <v/>
      </c>
      <c r="Q965" s="193" t="str">
        <f t="shared" si="151"/>
        <v/>
      </c>
      <c r="R965" s="194" t="str">
        <f t="shared" si="152"/>
        <v/>
      </c>
      <c r="S965" s="195" t="str">
        <f t="shared" ref="S965:S1003" si="154">IF(L965&lt;&gt;"",R965,"")</f>
        <v/>
      </c>
      <c r="T965" s="196" t="str">
        <f t="shared" ref="T965:T1003" si="155">IF(IF(L965&lt;&gt;"",G965,"")=0, "O", IF(L965&lt;&gt;"",G965,""))</f>
        <v/>
      </c>
      <c r="U965" s="197" t="str">
        <f t="shared" ref="U965:U1003" si="156">IF(M965&lt;&gt;"",R965,"")</f>
        <v/>
      </c>
      <c r="V965" s="198" t="str">
        <f t="shared" si="153"/>
        <v/>
      </c>
      <c r="W965" s="339" t="str">
        <f t="shared" ref="W965:W1003" si="157">IF(N965&lt;&gt;"",R965,"")</f>
        <v/>
      </c>
      <c r="X965" s="341" t="str">
        <f t="shared" ref="X965:X1003" si="158">IF(IF(N965&lt;&gt;"",G965,"")=0, "O", IF(N965&lt;&gt;"",G965,""))</f>
        <v/>
      </c>
      <c r="Y965" s="277"/>
      <c r="AR965" t="str">
        <f t="shared" ref="AR965:AR1003" si="159">IF(P965&gt;0, P965, "")</f>
        <v/>
      </c>
      <c r="AS965" t="str">
        <f t="shared" ref="AS965:AS1003" si="160">IF(OR(L965="Y",M965="Y",N965="Y"),"Y","")</f>
        <v/>
      </c>
    </row>
    <row r="966" spans="1:45">
      <c r="A966" s="294"/>
      <c r="B966" s="295"/>
      <c r="C966" s="296"/>
      <c r="D966" s="296"/>
      <c r="E966" s="296"/>
      <c r="F966" s="296"/>
      <c r="G966" s="297"/>
      <c r="H966" s="303"/>
      <c r="I966" s="298"/>
      <c r="J966" s="298"/>
      <c r="K966" s="299"/>
      <c r="L966" s="304"/>
      <c r="M966" s="300"/>
      <c r="N966" s="301"/>
      <c r="P966" s="193" t="str">
        <f>IF(R966 = "", "", COUNT(R$4:$R966))</f>
        <v/>
      </c>
      <c r="Q966" s="193" t="str">
        <f t="shared" si="151"/>
        <v/>
      </c>
      <c r="R966" s="194" t="str">
        <f t="shared" si="152"/>
        <v/>
      </c>
      <c r="S966" s="195" t="str">
        <f t="shared" si="154"/>
        <v/>
      </c>
      <c r="T966" s="196" t="str">
        <f t="shared" si="155"/>
        <v/>
      </c>
      <c r="U966" s="197" t="str">
        <f t="shared" si="156"/>
        <v/>
      </c>
      <c r="V966" s="198" t="str">
        <f t="shared" si="153"/>
        <v/>
      </c>
      <c r="W966" s="339" t="str">
        <f t="shared" si="157"/>
        <v/>
      </c>
      <c r="X966" s="341" t="str">
        <f t="shared" si="158"/>
        <v/>
      </c>
      <c r="Y966" s="277"/>
      <c r="AR966" t="str">
        <f t="shared" si="159"/>
        <v/>
      </c>
      <c r="AS966" t="str">
        <f t="shared" si="160"/>
        <v/>
      </c>
    </row>
    <row r="967" spans="1:45">
      <c r="A967" s="294"/>
      <c r="B967" s="295"/>
      <c r="C967" s="296"/>
      <c r="D967" s="296"/>
      <c r="E967" s="296"/>
      <c r="F967" s="296"/>
      <c r="G967" s="297"/>
      <c r="H967" s="303"/>
      <c r="I967" s="298"/>
      <c r="J967" s="298"/>
      <c r="K967" s="299"/>
      <c r="L967" s="304"/>
      <c r="M967" s="300"/>
      <c r="N967" s="301"/>
      <c r="P967" s="193" t="str">
        <f>IF(R967 = "", "", COUNT(R$4:$R967))</f>
        <v/>
      </c>
      <c r="Q967" s="193" t="str">
        <f t="shared" si="151"/>
        <v/>
      </c>
      <c r="R967" s="194" t="str">
        <f t="shared" si="152"/>
        <v/>
      </c>
      <c r="S967" s="195" t="str">
        <f t="shared" si="154"/>
        <v/>
      </c>
      <c r="T967" s="196" t="str">
        <f t="shared" si="155"/>
        <v/>
      </c>
      <c r="U967" s="197" t="str">
        <f t="shared" si="156"/>
        <v/>
      </c>
      <c r="V967" s="198" t="str">
        <f t="shared" si="153"/>
        <v/>
      </c>
      <c r="W967" s="339" t="str">
        <f t="shared" si="157"/>
        <v/>
      </c>
      <c r="X967" s="341" t="str">
        <f t="shared" si="158"/>
        <v/>
      </c>
      <c r="Y967" s="277"/>
      <c r="AR967" t="str">
        <f t="shared" si="159"/>
        <v/>
      </c>
      <c r="AS967" t="str">
        <f t="shared" si="160"/>
        <v/>
      </c>
    </row>
    <row r="968" spans="1:45">
      <c r="A968" s="294"/>
      <c r="B968" s="295"/>
      <c r="C968" s="296"/>
      <c r="D968" s="296"/>
      <c r="E968" s="296"/>
      <c r="F968" s="296"/>
      <c r="G968" s="297"/>
      <c r="H968" s="303"/>
      <c r="I968" s="298"/>
      <c r="J968" s="298"/>
      <c r="K968" s="299"/>
      <c r="L968" s="304"/>
      <c r="M968" s="300"/>
      <c r="N968" s="301"/>
      <c r="P968" s="193" t="str">
        <f>IF(R968 = "", "", COUNT(R$4:$R968))</f>
        <v/>
      </c>
      <c r="Q968" s="193" t="str">
        <f t="shared" si="151"/>
        <v/>
      </c>
      <c r="R968" s="194" t="str">
        <f t="shared" si="152"/>
        <v/>
      </c>
      <c r="S968" s="195" t="str">
        <f t="shared" si="154"/>
        <v/>
      </c>
      <c r="T968" s="196" t="str">
        <f t="shared" si="155"/>
        <v/>
      </c>
      <c r="U968" s="197" t="str">
        <f t="shared" si="156"/>
        <v/>
      </c>
      <c r="V968" s="198" t="str">
        <f t="shared" si="153"/>
        <v/>
      </c>
      <c r="W968" s="339" t="str">
        <f t="shared" si="157"/>
        <v/>
      </c>
      <c r="X968" s="341" t="str">
        <f t="shared" si="158"/>
        <v/>
      </c>
      <c r="Y968" s="277"/>
      <c r="AR968" t="str">
        <f t="shared" si="159"/>
        <v/>
      </c>
      <c r="AS968" t="str">
        <f t="shared" si="160"/>
        <v/>
      </c>
    </row>
    <row r="969" spans="1:45">
      <c r="A969" s="294"/>
      <c r="B969" s="295"/>
      <c r="C969" s="296"/>
      <c r="D969" s="296"/>
      <c r="E969" s="296"/>
      <c r="F969" s="296"/>
      <c r="G969" s="297"/>
      <c r="H969" s="303"/>
      <c r="I969" s="298"/>
      <c r="J969" s="298"/>
      <c r="K969" s="299"/>
      <c r="L969" s="304"/>
      <c r="M969" s="300"/>
      <c r="N969" s="301"/>
      <c r="P969" s="193" t="str">
        <f>IF(R969 = "", "", COUNT(R$4:$R969))</f>
        <v/>
      </c>
      <c r="Q969" s="193" t="str">
        <f t="shared" si="151"/>
        <v/>
      </c>
      <c r="R969" s="194" t="str">
        <f t="shared" si="152"/>
        <v/>
      </c>
      <c r="S969" s="195" t="str">
        <f t="shared" si="154"/>
        <v/>
      </c>
      <c r="T969" s="196" t="str">
        <f t="shared" si="155"/>
        <v/>
      </c>
      <c r="U969" s="197" t="str">
        <f t="shared" si="156"/>
        <v/>
      </c>
      <c r="V969" s="198" t="str">
        <f t="shared" si="153"/>
        <v/>
      </c>
      <c r="W969" s="339" t="str">
        <f t="shared" si="157"/>
        <v/>
      </c>
      <c r="X969" s="341" t="str">
        <f t="shared" si="158"/>
        <v/>
      </c>
      <c r="Y969" s="277"/>
      <c r="AR969" t="str">
        <f t="shared" si="159"/>
        <v/>
      </c>
      <c r="AS969" t="str">
        <f t="shared" si="160"/>
        <v/>
      </c>
    </row>
    <row r="970" spans="1:45">
      <c r="A970" s="294"/>
      <c r="B970" s="295"/>
      <c r="C970" s="296"/>
      <c r="D970" s="296"/>
      <c r="E970" s="296"/>
      <c r="F970" s="296"/>
      <c r="G970" s="297"/>
      <c r="H970" s="303"/>
      <c r="I970" s="298"/>
      <c r="J970" s="298"/>
      <c r="K970" s="299"/>
      <c r="L970" s="304"/>
      <c r="M970" s="300"/>
      <c r="N970" s="301"/>
      <c r="P970" s="193" t="str">
        <f>IF(R970 = "", "", COUNT(R$4:$R970))</f>
        <v/>
      </c>
      <c r="Q970" s="193" t="str">
        <f t="shared" si="151"/>
        <v/>
      </c>
      <c r="R970" s="194" t="str">
        <f t="shared" si="152"/>
        <v/>
      </c>
      <c r="S970" s="195" t="str">
        <f t="shared" si="154"/>
        <v/>
      </c>
      <c r="T970" s="196" t="str">
        <f t="shared" si="155"/>
        <v/>
      </c>
      <c r="U970" s="197" t="str">
        <f t="shared" si="156"/>
        <v/>
      </c>
      <c r="V970" s="198" t="str">
        <f t="shared" si="153"/>
        <v/>
      </c>
      <c r="W970" s="339" t="str">
        <f t="shared" si="157"/>
        <v/>
      </c>
      <c r="X970" s="341" t="str">
        <f t="shared" si="158"/>
        <v/>
      </c>
      <c r="Y970" s="277"/>
      <c r="AR970" t="str">
        <f t="shared" si="159"/>
        <v/>
      </c>
      <c r="AS970" t="str">
        <f t="shared" si="160"/>
        <v/>
      </c>
    </row>
    <row r="971" spans="1:45">
      <c r="A971" s="294"/>
      <c r="B971" s="295"/>
      <c r="C971" s="296"/>
      <c r="D971" s="296"/>
      <c r="E971" s="296"/>
      <c r="F971" s="296"/>
      <c r="G971" s="297"/>
      <c r="H971" s="303"/>
      <c r="I971" s="298"/>
      <c r="J971" s="298"/>
      <c r="K971" s="299"/>
      <c r="L971" s="304"/>
      <c r="M971" s="300"/>
      <c r="N971" s="301"/>
      <c r="P971" s="193" t="str">
        <f>IF(R971 = "", "", COUNT(R$4:$R971))</f>
        <v/>
      </c>
      <c r="Q971" s="193" t="str">
        <f t="shared" si="151"/>
        <v/>
      </c>
      <c r="R971" s="194" t="str">
        <f t="shared" si="152"/>
        <v/>
      </c>
      <c r="S971" s="195" t="str">
        <f t="shared" si="154"/>
        <v/>
      </c>
      <c r="T971" s="196" t="str">
        <f t="shared" si="155"/>
        <v/>
      </c>
      <c r="U971" s="197" t="str">
        <f t="shared" si="156"/>
        <v/>
      </c>
      <c r="V971" s="198" t="str">
        <f t="shared" si="153"/>
        <v/>
      </c>
      <c r="W971" s="339" t="str">
        <f t="shared" si="157"/>
        <v/>
      </c>
      <c r="X971" s="341" t="str">
        <f t="shared" si="158"/>
        <v/>
      </c>
      <c r="Y971" s="277"/>
      <c r="AR971" t="str">
        <f t="shared" si="159"/>
        <v/>
      </c>
      <c r="AS971" t="str">
        <f t="shared" si="160"/>
        <v/>
      </c>
    </row>
    <row r="972" spans="1:45">
      <c r="A972" s="294"/>
      <c r="B972" s="295"/>
      <c r="C972" s="296"/>
      <c r="D972" s="296"/>
      <c r="E972" s="296"/>
      <c r="F972" s="296"/>
      <c r="G972" s="297"/>
      <c r="H972" s="303"/>
      <c r="I972" s="298"/>
      <c r="J972" s="298"/>
      <c r="K972" s="299"/>
      <c r="L972" s="304"/>
      <c r="M972" s="300"/>
      <c r="N972" s="301"/>
      <c r="P972" s="193" t="str">
        <f>IF(R972 = "", "", COUNT(R$4:$R972))</f>
        <v/>
      </c>
      <c r="Q972" s="193" t="str">
        <f t="shared" si="151"/>
        <v/>
      </c>
      <c r="R972" s="194" t="str">
        <f t="shared" si="152"/>
        <v/>
      </c>
      <c r="S972" s="195" t="str">
        <f t="shared" si="154"/>
        <v/>
      </c>
      <c r="T972" s="196" t="str">
        <f t="shared" si="155"/>
        <v/>
      </c>
      <c r="U972" s="197" t="str">
        <f t="shared" si="156"/>
        <v/>
      </c>
      <c r="V972" s="198" t="str">
        <f t="shared" si="153"/>
        <v/>
      </c>
      <c r="W972" s="339" t="str">
        <f t="shared" si="157"/>
        <v/>
      </c>
      <c r="X972" s="341" t="str">
        <f t="shared" si="158"/>
        <v/>
      </c>
      <c r="Y972" s="277"/>
      <c r="AR972" t="str">
        <f t="shared" si="159"/>
        <v/>
      </c>
      <c r="AS972" t="str">
        <f t="shared" si="160"/>
        <v/>
      </c>
    </row>
    <row r="973" spans="1:45">
      <c r="A973" s="294"/>
      <c r="B973" s="295"/>
      <c r="C973" s="296"/>
      <c r="D973" s="296"/>
      <c r="E973" s="296"/>
      <c r="F973" s="296"/>
      <c r="G973" s="297"/>
      <c r="H973" s="303"/>
      <c r="I973" s="298"/>
      <c r="J973" s="298"/>
      <c r="K973" s="299"/>
      <c r="L973" s="304"/>
      <c r="M973" s="300"/>
      <c r="N973" s="301"/>
      <c r="P973" s="193" t="str">
        <f>IF(R973 = "", "", COUNT(R$4:$R973))</f>
        <v/>
      </c>
      <c r="Q973" s="193" t="str">
        <f t="shared" si="151"/>
        <v/>
      </c>
      <c r="R973" s="194" t="str">
        <f t="shared" si="152"/>
        <v/>
      </c>
      <c r="S973" s="195" t="str">
        <f t="shared" si="154"/>
        <v/>
      </c>
      <c r="T973" s="196" t="str">
        <f t="shared" si="155"/>
        <v/>
      </c>
      <c r="U973" s="197" t="str">
        <f t="shared" si="156"/>
        <v/>
      </c>
      <c r="V973" s="198" t="str">
        <f t="shared" si="153"/>
        <v/>
      </c>
      <c r="W973" s="339" t="str">
        <f t="shared" si="157"/>
        <v/>
      </c>
      <c r="X973" s="341" t="str">
        <f t="shared" si="158"/>
        <v/>
      </c>
      <c r="Y973" s="277"/>
      <c r="AR973" t="str">
        <f t="shared" si="159"/>
        <v/>
      </c>
      <c r="AS973" t="str">
        <f t="shared" si="160"/>
        <v/>
      </c>
    </row>
    <row r="974" spans="1:45">
      <c r="A974" s="294"/>
      <c r="B974" s="295"/>
      <c r="C974" s="296"/>
      <c r="D974" s="296"/>
      <c r="E974" s="296"/>
      <c r="F974" s="296"/>
      <c r="G974" s="297"/>
      <c r="H974" s="303"/>
      <c r="I974" s="298"/>
      <c r="J974" s="298"/>
      <c r="K974" s="299"/>
      <c r="L974" s="304"/>
      <c r="M974" s="300"/>
      <c r="N974" s="301"/>
      <c r="P974" s="193" t="str">
        <f>IF(R974 = "", "", COUNT(R$4:$R974))</f>
        <v/>
      </c>
      <c r="Q974" s="193" t="str">
        <f t="shared" si="151"/>
        <v/>
      </c>
      <c r="R974" s="194" t="str">
        <f t="shared" si="152"/>
        <v/>
      </c>
      <c r="S974" s="195" t="str">
        <f t="shared" si="154"/>
        <v/>
      </c>
      <c r="T974" s="196" t="str">
        <f t="shared" si="155"/>
        <v/>
      </c>
      <c r="U974" s="197" t="str">
        <f t="shared" si="156"/>
        <v/>
      </c>
      <c r="V974" s="198" t="str">
        <f t="shared" si="153"/>
        <v/>
      </c>
      <c r="W974" s="339" t="str">
        <f t="shared" si="157"/>
        <v/>
      </c>
      <c r="X974" s="341" t="str">
        <f t="shared" si="158"/>
        <v/>
      </c>
      <c r="Y974" s="277"/>
      <c r="AR974" t="str">
        <f t="shared" si="159"/>
        <v/>
      </c>
      <c r="AS974" t="str">
        <f t="shared" si="160"/>
        <v/>
      </c>
    </row>
    <row r="975" spans="1:45">
      <c r="A975" s="294"/>
      <c r="B975" s="295"/>
      <c r="C975" s="296"/>
      <c r="D975" s="296"/>
      <c r="E975" s="296"/>
      <c r="F975" s="296"/>
      <c r="G975" s="297"/>
      <c r="H975" s="303"/>
      <c r="I975" s="298"/>
      <c r="J975" s="298"/>
      <c r="K975" s="299"/>
      <c r="L975" s="304"/>
      <c r="M975" s="300"/>
      <c r="N975" s="301"/>
      <c r="P975" s="193" t="str">
        <f>IF(R975 = "", "", COUNT(R$4:$R975))</f>
        <v/>
      </c>
      <c r="Q975" s="193" t="str">
        <f t="shared" si="151"/>
        <v/>
      </c>
      <c r="R975" s="194" t="str">
        <f t="shared" si="152"/>
        <v/>
      </c>
      <c r="S975" s="195" t="str">
        <f t="shared" si="154"/>
        <v/>
      </c>
      <c r="T975" s="196" t="str">
        <f t="shared" si="155"/>
        <v/>
      </c>
      <c r="U975" s="197" t="str">
        <f t="shared" si="156"/>
        <v/>
      </c>
      <c r="V975" s="198" t="str">
        <f t="shared" si="153"/>
        <v/>
      </c>
      <c r="W975" s="339" t="str">
        <f t="shared" si="157"/>
        <v/>
      </c>
      <c r="X975" s="341" t="str">
        <f t="shared" si="158"/>
        <v/>
      </c>
      <c r="Y975" s="277"/>
      <c r="AR975" t="str">
        <f t="shared" si="159"/>
        <v/>
      </c>
      <c r="AS975" t="str">
        <f t="shared" si="160"/>
        <v/>
      </c>
    </row>
    <row r="976" spans="1:45">
      <c r="A976" s="294"/>
      <c r="B976" s="295"/>
      <c r="C976" s="296"/>
      <c r="D976" s="296"/>
      <c r="E976" s="296"/>
      <c r="F976" s="296"/>
      <c r="G976" s="297"/>
      <c r="H976" s="303"/>
      <c r="I976" s="298"/>
      <c r="J976" s="298"/>
      <c r="K976" s="299"/>
      <c r="L976" s="304"/>
      <c r="M976" s="300"/>
      <c r="N976" s="301"/>
      <c r="P976" s="193" t="str">
        <f>IF(R976 = "", "", COUNT(R$4:$R976))</f>
        <v/>
      </c>
      <c r="Q976" s="193" t="str">
        <f t="shared" si="151"/>
        <v/>
      </c>
      <c r="R976" s="194" t="str">
        <f t="shared" si="152"/>
        <v/>
      </c>
      <c r="S976" s="195" t="str">
        <f t="shared" si="154"/>
        <v/>
      </c>
      <c r="T976" s="196" t="str">
        <f t="shared" si="155"/>
        <v/>
      </c>
      <c r="U976" s="197" t="str">
        <f t="shared" si="156"/>
        <v/>
      </c>
      <c r="V976" s="198" t="str">
        <f t="shared" si="153"/>
        <v/>
      </c>
      <c r="W976" s="339" t="str">
        <f t="shared" si="157"/>
        <v/>
      </c>
      <c r="X976" s="341" t="str">
        <f t="shared" si="158"/>
        <v/>
      </c>
      <c r="Y976" s="277"/>
      <c r="AR976" t="str">
        <f t="shared" si="159"/>
        <v/>
      </c>
      <c r="AS976" t="str">
        <f t="shared" si="160"/>
        <v/>
      </c>
    </row>
    <row r="977" spans="1:45">
      <c r="A977" s="294"/>
      <c r="B977" s="295"/>
      <c r="C977" s="296"/>
      <c r="D977" s="296"/>
      <c r="E977" s="296"/>
      <c r="F977" s="296"/>
      <c r="G977" s="297"/>
      <c r="H977" s="303"/>
      <c r="I977" s="298"/>
      <c r="J977" s="298"/>
      <c r="K977" s="299"/>
      <c r="L977" s="304"/>
      <c r="M977" s="300"/>
      <c r="N977" s="301"/>
      <c r="P977" s="193" t="str">
        <f>IF(R977 = "", "", COUNT(R$4:$R977))</f>
        <v/>
      </c>
      <c r="Q977" s="193" t="str">
        <f t="shared" si="151"/>
        <v/>
      </c>
      <c r="R977" s="194" t="str">
        <f t="shared" si="152"/>
        <v/>
      </c>
      <c r="S977" s="195" t="str">
        <f t="shared" si="154"/>
        <v/>
      </c>
      <c r="T977" s="196" t="str">
        <f t="shared" si="155"/>
        <v/>
      </c>
      <c r="U977" s="197" t="str">
        <f t="shared" si="156"/>
        <v/>
      </c>
      <c r="V977" s="198" t="str">
        <f t="shared" si="153"/>
        <v/>
      </c>
      <c r="W977" s="339" t="str">
        <f t="shared" si="157"/>
        <v/>
      </c>
      <c r="X977" s="341" t="str">
        <f t="shared" si="158"/>
        <v/>
      </c>
      <c r="Y977" s="277"/>
      <c r="AR977" t="str">
        <f t="shared" si="159"/>
        <v/>
      </c>
      <c r="AS977" t="str">
        <f t="shared" si="160"/>
        <v/>
      </c>
    </row>
    <row r="978" spans="1:45">
      <c r="A978" s="294"/>
      <c r="B978" s="295"/>
      <c r="C978" s="296"/>
      <c r="D978" s="296"/>
      <c r="E978" s="296"/>
      <c r="F978" s="296"/>
      <c r="G978" s="297"/>
      <c r="H978" s="303"/>
      <c r="I978" s="298"/>
      <c r="J978" s="298"/>
      <c r="K978" s="299"/>
      <c r="L978" s="304"/>
      <c r="M978" s="300"/>
      <c r="N978" s="301"/>
      <c r="P978" s="193" t="str">
        <f>IF(R978 = "", "", COUNT(R$4:$R978))</f>
        <v/>
      </c>
      <c r="Q978" s="193" t="str">
        <f t="shared" si="151"/>
        <v/>
      </c>
      <c r="R978" s="194" t="str">
        <f t="shared" si="152"/>
        <v/>
      </c>
      <c r="S978" s="195" t="str">
        <f t="shared" si="154"/>
        <v/>
      </c>
      <c r="T978" s="196" t="str">
        <f t="shared" si="155"/>
        <v/>
      </c>
      <c r="U978" s="197" t="str">
        <f t="shared" si="156"/>
        <v/>
      </c>
      <c r="V978" s="198" t="str">
        <f t="shared" si="153"/>
        <v/>
      </c>
      <c r="W978" s="339" t="str">
        <f t="shared" si="157"/>
        <v/>
      </c>
      <c r="X978" s="341" t="str">
        <f t="shared" si="158"/>
        <v/>
      </c>
      <c r="Y978" s="277"/>
      <c r="AR978" t="str">
        <f t="shared" si="159"/>
        <v/>
      </c>
      <c r="AS978" t="str">
        <f t="shared" si="160"/>
        <v/>
      </c>
    </row>
    <row r="979" spans="1:45">
      <c r="A979" s="294"/>
      <c r="B979" s="295"/>
      <c r="C979" s="296"/>
      <c r="D979" s="296"/>
      <c r="E979" s="296"/>
      <c r="F979" s="296"/>
      <c r="G979" s="297"/>
      <c r="H979" s="303"/>
      <c r="I979" s="298"/>
      <c r="J979" s="298"/>
      <c r="K979" s="299"/>
      <c r="L979" s="304"/>
      <c r="M979" s="300"/>
      <c r="N979" s="301"/>
      <c r="P979" s="193" t="str">
        <f>IF(R979 = "", "", COUNT(R$4:$R979))</f>
        <v/>
      </c>
      <c r="Q979" s="193" t="str">
        <f t="shared" si="151"/>
        <v/>
      </c>
      <c r="R979" s="194" t="str">
        <f t="shared" si="152"/>
        <v/>
      </c>
      <c r="S979" s="195" t="str">
        <f t="shared" si="154"/>
        <v/>
      </c>
      <c r="T979" s="196" t="str">
        <f t="shared" si="155"/>
        <v/>
      </c>
      <c r="U979" s="197" t="str">
        <f t="shared" si="156"/>
        <v/>
      </c>
      <c r="V979" s="198" t="str">
        <f t="shared" si="153"/>
        <v/>
      </c>
      <c r="W979" s="339" t="str">
        <f t="shared" si="157"/>
        <v/>
      </c>
      <c r="X979" s="341" t="str">
        <f t="shared" si="158"/>
        <v/>
      </c>
      <c r="Y979" s="277"/>
      <c r="AR979" t="str">
        <f t="shared" si="159"/>
        <v/>
      </c>
      <c r="AS979" t="str">
        <f t="shared" si="160"/>
        <v/>
      </c>
    </row>
    <row r="980" spans="1:45">
      <c r="A980" s="294"/>
      <c r="B980" s="295"/>
      <c r="C980" s="296"/>
      <c r="D980" s="296"/>
      <c r="E980" s="296"/>
      <c r="F980" s="296"/>
      <c r="G980" s="297"/>
      <c r="H980" s="303"/>
      <c r="I980" s="298"/>
      <c r="J980" s="298"/>
      <c r="K980" s="299"/>
      <c r="L980" s="304"/>
      <c r="M980" s="300"/>
      <c r="N980" s="301"/>
      <c r="P980" s="193" t="str">
        <f>IF(R980 = "", "", COUNT(R$4:$R980))</f>
        <v/>
      </c>
      <c r="Q980" s="193" t="str">
        <f t="shared" si="151"/>
        <v/>
      </c>
      <c r="R980" s="194" t="str">
        <f t="shared" si="152"/>
        <v/>
      </c>
      <c r="S980" s="195" t="str">
        <f t="shared" si="154"/>
        <v/>
      </c>
      <c r="T980" s="196" t="str">
        <f t="shared" si="155"/>
        <v/>
      </c>
      <c r="U980" s="197" t="str">
        <f t="shared" si="156"/>
        <v/>
      </c>
      <c r="V980" s="198" t="str">
        <f t="shared" si="153"/>
        <v/>
      </c>
      <c r="W980" s="339" t="str">
        <f t="shared" si="157"/>
        <v/>
      </c>
      <c r="X980" s="341" t="str">
        <f t="shared" si="158"/>
        <v/>
      </c>
      <c r="Y980" s="277"/>
      <c r="AR980" t="str">
        <f t="shared" si="159"/>
        <v/>
      </c>
      <c r="AS980" t="str">
        <f t="shared" si="160"/>
        <v/>
      </c>
    </row>
    <row r="981" spans="1:45">
      <c r="A981" s="294"/>
      <c r="B981" s="295"/>
      <c r="C981" s="296"/>
      <c r="D981" s="296"/>
      <c r="E981" s="296"/>
      <c r="F981" s="296"/>
      <c r="G981" s="297"/>
      <c r="H981" s="303"/>
      <c r="I981" s="298"/>
      <c r="J981" s="298"/>
      <c r="K981" s="299"/>
      <c r="L981" s="304"/>
      <c r="M981" s="300"/>
      <c r="N981" s="301"/>
      <c r="P981" s="193" t="str">
        <f>IF(R981 = "", "", COUNT(R$4:$R981))</f>
        <v/>
      </c>
      <c r="Q981" s="193" t="str">
        <f t="shared" si="151"/>
        <v/>
      </c>
      <c r="R981" s="194" t="str">
        <f t="shared" si="152"/>
        <v/>
      </c>
      <c r="S981" s="195" t="str">
        <f t="shared" si="154"/>
        <v/>
      </c>
      <c r="T981" s="196" t="str">
        <f t="shared" si="155"/>
        <v/>
      </c>
      <c r="U981" s="197" t="str">
        <f t="shared" si="156"/>
        <v/>
      </c>
      <c r="V981" s="198" t="str">
        <f t="shared" si="153"/>
        <v/>
      </c>
      <c r="W981" s="339" t="str">
        <f t="shared" si="157"/>
        <v/>
      </c>
      <c r="X981" s="341" t="str">
        <f t="shared" si="158"/>
        <v/>
      </c>
      <c r="Y981" s="277"/>
      <c r="AR981" t="str">
        <f t="shared" si="159"/>
        <v/>
      </c>
      <c r="AS981" t="str">
        <f t="shared" si="160"/>
        <v/>
      </c>
    </row>
    <row r="982" spans="1:45">
      <c r="A982" s="294"/>
      <c r="B982" s="295"/>
      <c r="C982" s="296"/>
      <c r="D982" s="296"/>
      <c r="E982" s="296"/>
      <c r="F982" s="296"/>
      <c r="G982" s="297"/>
      <c r="H982" s="303"/>
      <c r="I982" s="298"/>
      <c r="J982" s="298"/>
      <c r="K982" s="299"/>
      <c r="L982" s="304"/>
      <c r="M982" s="300"/>
      <c r="N982" s="301"/>
      <c r="P982" s="193" t="str">
        <f>IF(R982 = "", "", COUNT(R$4:$R982))</f>
        <v/>
      </c>
      <c r="Q982" s="193" t="str">
        <f t="shared" si="151"/>
        <v/>
      </c>
      <c r="R982" s="194" t="str">
        <f t="shared" si="152"/>
        <v/>
      </c>
      <c r="S982" s="195" t="str">
        <f t="shared" si="154"/>
        <v/>
      </c>
      <c r="T982" s="196" t="str">
        <f t="shared" si="155"/>
        <v/>
      </c>
      <c r="U982" s="197" t="str">
        <f t="shared" si="156"/>
        <v/>
      </c>
      <c r="V982" s="198" t="str">
        <f t="shared" si="153"/>
        <v/>
      </c>
      <c r="W982" s="339" t="str">
        <f t="shared" si="157"/>
        <v/>
      </c>
      <c r="X982" s="341" t="str">
        <f t="shared" si="158"/>
        <v/>
      </c>
      <c r="Y982" s="277"/>
      <c r="AR982" t="str">
        <f t="shared" si="159"/>
        <v/>
      </c>
      <c r="AS982" t="str">
        <f t="shared" si="160"/>
        <v/>
      </c>
    </row>
    <row r="983" spans="1:45">
      <c r="A983" s="294"/>
      <c r="B983" s="295"/>
      <c r="C983" s="296"/>
      <c r="D983" s="296"/>
      <c r="E983" s="296"/>
      <c r="F983" s="296"/>
      <c r="G983" s="297"/>
      <c r="H983" s="303"/>
      <c r="I983" s="298"/>
      <c r="J983" s="298"/>
      <c r="K983" s="299"/>
      <c r="L983" s="304"/>
      <c r="M983" s="300"/>
      <c r="N983" s="301"/>
      <c r="P983" s="193" t="str">
        <f>IF(R983 = "", "", COUNT(R$4:$R983))</f>
        <v/>
      </c>
      <c r="Q983" s="193" t="str">
        <f t="shared" si="151"/>
        <v/>
      </c>
      <c r="R983" s="194" t="str">
        <f t="shared" si="152"/>
        <v/>
      </c>
      <c r="S983" s="195" t="str">
        <f t="shared" si="154"/>
        <v/>
      </c>
      <c r="T983" s="196" t="str">
        <f t="shared" si="155"/>
        <v/>
      </c>
      <c r="U983" s="197" t="str">
        <f t="shared" si="156"/>
        <v/>
      </c>
      <c r="V983" s="198" t="str">
        <f t="shared" si="153"/>
        <v/>
      </c>
      <c r="W983" s="339" t="str">
        <f t="shared" si="157"/>
        <v/>
      </c>
      <c r="X983" s="341" t="str">
        <f t="shared" si="158"/>
        <v/>
      </c>
      <c r="Y983" s="277"/>
      <c r="AR983" t="str">
        <f t="shared" si="159"/>
        <v/>
      </c>
      <c r="AS983" t="str">
        <f t="shared" si="160"/>
        <v/>
      </c>
    </row>
    <row r="984" spans="1:45">
      <c r="A984" s="294"/>
      <c r="B984" s="295"/>
      <c r="C984" s="296"/>
      <c r="D984" s="296"/>
      <c r="E984" s="296"/>
      <c r="F984" s="296"/>
      <c r="G984" s="297"/>
      <c r="H984" s="303"/>
      <c r="I984" s="298"/>
      <c r="J984" s="298"/>
      <c r="K984" s="299"/>
      <c r="L984" s="304"/>
      <c r="M984" s="300"/>
      <c r="N984" s="301"/>
      <c r="P984" s="193" t="str">
        <f>IF(R984 = "", "", COUNT(R$4:$R984))</f>
        <v/>
      </c>
      <c r="Q984" s="193" t="str">
        <f t="shared" si="151"/>
        <v/>
      </c>
      <c r="R984" s="194" t="str">
        <f t="shared" si="152"/>
        <v/>
      </c>
      <c r="S984" s="195" t="str">
        <f t="shared" si="154"/>
        <v/>
      </c>
      <c r="T984" s="196" t="str">
        <f t="shared" si="155"/>
        <v/>
      </c>
      <c r="U984" s="197" t="str">
        <f t="shared" si="156"/>
        <v/>
      </c>
      <c r="V984" s="198" t="str">
        <f t="shared" si="153"/>
        <v/>
      </c>
      <c r="W984" s="339" t="str">
        <f t="shared" si="157"/>
        <v/>
      </c>
      <c r="X984" s="341" t="str">
        <f t="shared" si="158"/>
        <v/>
      </c>
      <c r="Y984" s="277"/>
      <c r="AR984" t="str">
        <f t="shared" si="159"/>
        <v/>
      </c>
      <c r="AS984" t="str">
        <f t="shared" si="160"/>
        <v/>
      </c>
    </row>
    <row r="985" spans="1:45">
      <c r="A985" s="294"/>
      <c r="B985" s="295"/>
      <c r="C985" s="296"/>
      <c r="D985" s="296"/>
      <c r="E985" s="296"/>
      <c r="F985" s="296"/>
      <c r="G985" s="297"/>
      <c r="H985" s="303"/>
      <c r="I985" s="298"/>
      <c r="J985" s="298"/>
      <c r="K985" s="299"/>
      <c r="L985" s="304"/>
      <c r="M985" s="300"/>
      <c r="N985" s="301"/>
      <c r="P985" s="193" t="str">
        <f>IF(R985 = "", "", COUNT(R$4:$R985))</f>
        <v/>
      </c>
      <c r="Q985" s="193" t="str">
        <f t="shared" si="151"/>
        <v/>
      </c>
      <c r="R985" s="194" t="str">
        <f t="shared" si="152"/>
        <v/>
      </c>
      <c r="S985" s="195" t="str">
        <f t="shared" si="154"/>
        <v/>
      </c>
      <c r="T985" s="196" t="str">
        <f t="shared" si="155"/>
        <v/>
      </c>
      <c r="U985" s="197" t="str">
        <f t="shared" si="156"/>
        <v/>
      </c>
      <c r="V985" s="198" t="str">
        <f t="shared" si="153"/>
        <v/>
      </c>
      <c r="W985" s="339" t="str">
        <f t="shared" si="157"/>
        <v/>
      </c>
      <c r="X985" s="341" t="str">
        <f t="shared" si="158"/>
        <v/>
      </c>
      <c r="Y985" s="277"/>
      <c r="AR985" t="str">
        <f t="shared" si="159"/>
        <v/>
      </c>
      <c r="AS985" t="str">
        <f t="shared" si="160"/>
        <v/>
      </c>
    </row>
    <row r="986" spans="1:45">
      <c r="A986" s="294"/>
      <c r="B986" s="295"/>
      <c r="C986" s="296"/>
      <c r="D986" s="296"/>
      <c r="E986" s="296"/>
      <c r="F986" s="296"/>
      <c r="G986" s="297"/>
      <c r="H986" s="303"/>
      <c r="I986" s="298"/>
      <c r="J986" s="298"/>
      <c r="K986" s="299"/>
      <c r="L986" s="304"/>
      <c r="M986" s="300"/>
      <c r="N986" s="301"/>
      <c r="P986" s="193" t="str">
        <f>IF(R986 = "", "", COUNT(R$4:$R986))</f>
        <v/>
      </c>
      <c r="Q986" s="193" t="str">
        <f t="shared" si="151"/>
        <v/>
      </c>
      <c r="R986" s="194" t="str">
        <f t="shared" si="152"/>
        <v/>
      </c>
      <c r="S986" s="195" t="str">
        <f t="shared" si="154"/>
        <v/>
      </c>
      <c r="T986" s="196" t="str">
        <f t="shared" si="155"/>
        <v/>
      </c>
      <c r="U986" s="197" t="str">
        <f t="shared" si="156"/>
        <v/>
      </c>
      <c r="V986" s="198" t="str">
        <f t="shared" si="153"/>
        <v/>
      </c>
      <c r="W986" s="339" t="str">
        <f t="shared" si="157"/>
        <v/>
      </c>
      <c r="X986" s="341" t="str">
        <f t="shared" si="158"/>
        <v/>
      </c>
      <c r="Y986" s="277"/>
      <c r="AR986" t="str">
        <f t="shared" si="159"/>
        <v/>
      </c>
      <c r="AS986" t="str">
        <f t="shared" si="160"/>
        <v/>
      </c>
    </row>
    <row r="987" spans="1:45">
      <c r="A987" s="294"/>
      <c r="B987" s="295"/>
      <c r="C987" s="296"/>
      <c r="D987" s="296"/>
      <c r="E987" s="296"/>
      <c r="F987" s="296"/>
      <c r="G987" s="297"/>
      <c r="H987" s="303"/>
      <c r="I987" s="298"/>
      <c r="J987" s="298"/>
      <c r="K987" s="299"/>
      <c r="L987" s="304"/>
      <c r="M987" s="300"/>
      <c r="N987" s="301"/>
      <c r="P987" s="193" t="str">
        <f>IF(R987 = "", "", COUNT(R$4:$R987))</f>
        <v/>
      </c>
      <c r="Q987" s="193" t="str">
        <f t="shared" si="151"/>
        <v/>
      </c>
      <c r="R987" s="194" t="str">
        <f t="shared" si="152"/>
        <v/>
      </c>
      <c r="S987" s="195" t="str">
        <f t="shared" si="154"/>
        <v/>
      </c>
      <c r="T987" s="196" t="str">
        <f t="shared" si="155"/>
        <v/>
      </c>
      <c r="U987" s="197" t="str">
        <f t="shared" si="156"/>
        <v/>
      </c>
      <c r="V987" s="198" t="str">
        <f t="shared" si="153"/>
        <v/>
      </c>
      <c r="W987" s="339" t="str">
        <f t="shared" si="157"/>
        <v/>
      </c>
      <c r="X987" s="341" t="str">
        <f t="shared" si="158"/>
        <v/>
      </c>
      <c r="Y987" s="277"/>
      <c r="AR987" t="str">
        <f t="shared" si="159"/>
        <v/>
      </c>
      <c r="AS987" t="str">
        <f t="shared" si="160"/>
        <v/>
      </c>
    </row>
    <row r="988" spans="1:45">
      <c r="A988" s="294"/>
      <c r="B988" s="295"/>
      <c r="C988" s="296"/>
      <c r="D988" s="296"/>
      <c r="E988" s="296"/>
      <c r="F988" s="296"/>
      <c r="G988" s="297"/>
      <c r="H988" s="303"/>
      <c r="I988" s="298"/>
      <c r="J988" s="298"/>
      <c r="K988" s="299"/>
      <c r="L988" s="304"/>
      <c r="M988" s="300"/>
      <c r="N988" s="301"/>
      <c r="P988" s="193" t="str">
        <f>IF(R988 = "", "", COUNT(R$4:$R988))</f>
        <v/>
      </c>
      <c r="Q988" s="193" t="str">
        <f t="shared" si="151"/>
        <v/>
      </c>
      <c r="R988" s="194" t="str">
        <f t="shared" si="152"/>
        <v/>
      </c>
      <c r="S988" s="195" t="str">
        <f t="shared" si="154"/>
        <v/>
      </c>
      <c r="T988" s="196" t="str">
        <f t="shared" si="155"/>
        <v/>
      </c>
      <c r="U988" s="197" t="str">
        <f t="shared" si="156"/>
        <v/>
      </c>
      <c r="V988" s="198" t="str">
        <f t="shared" si="153"/>
        <v/>
      </c>
      <c r="W988" s="339" t="str">
        <f t="shared" si="157"/>
        <v/>
      </c>
      <c r="X988" s="341" t="str">
        <f t="shared" si="158"/>
        <v/>
      </c>
      <c r="Y988" s="277"/>
      <c r="AR988" t="str">
        <f t="shared" si="159"/>
        <v/>
      </c>
      <c r="AS988" t="str">
        <f t="shared" si="160"/>
        <v/>
      </c>
    </row>
    <row r="989" spans="1:45">
      <c r="A989" s="294"/>
      <c r="B989" s="295"/>
      <c r="C989" s="296"/>
      <c r="D989" s="296"/>
      <c r="E989" s="296"/>
      <c r="F989" s="296"/>
      <c r="G989" s="297"/>
      <c r="H989" s="303"/>
      <c r="I989" s="298"/>
      <c r="J989" s="298"/>
      <c r="K989" s="299"/>
      <c r="L989" s="304"/>
      <c r="M989" s="300"/>
      <c r="N989" s="301"/>
      <c r="P989" s="193" t="str">
        <f>IF(R989 = "", "", COUNT(R$4:$R989))</f>
        <v/>
      </c>
      <c r="Q989" s="193" t="str">
        <f t="shared" si="151"/>
        <v/>
      </c>
      <c r="R989" s="194" t="str">
        <f t="shared" si="152"/>
        <v/>
      </c>
      <c r="S989" s="195" t="str">
        <f t="shared" si="154"/>
        <v/>
      </c>
      <c r="T989" s="196" t="str">
        <f t="shared" si="155"/>
        <v/>
      </c>
      <c r="U989" s="197" t="str">
        <f t="shared" si="156"/>
        <v/>
      </c>
      <c r="V989" s="198" t="str">
        <f t="shared" si="153"/>
        <v/>
      </c>
      <c r="W989" s="339" t="str">
        <f t="shared" si="157"/>
        <v/>
      </c>
      <c r="X989" s="341" t="str">
        <f t="shared" si="158"/>
        <v/>
      </c>
      <c r="Y989" s="277"/>
      <c r="AR989" t="str">
        <f t="shared" si="159"/>
        <v/>
      </c>
      <c r="AS989" t="str">
        <f t="shared" si="160"/>
        <v/>
      </c>
    </row>
    <row r="990" spans="1:45">
      <c r="A990" s="294"/>
      <c r="B990" s="295"/>
      <c r="C990" s="296"/>
      <c r="D990" s="296"/>
      <c r="E990" s="296"/>
      <c r="F990" s="296"/>
      <c r="G990" s="297"/>
      <c r="H990" s="303"/>
      <c r="I990" s="298"/>
      <c r="J990" s="298"/>
      <c r="K990" s="299"/>
      <c r="L990" s="304"/>
      <c r="M990" s="300"/>
      <c r="N990" s="301"/>
      <c r="P990" s="193" t="str">
        <f>IF(R990 = "", "", COUNT(R$4:$R990))</f>
        <v/>
      </c>
      <c r="Q990" s="193" t="str">
        <f t="shared" si="151"/>
        <v/>
      </c>
      <c r="R990" s="194" t="str">
        <f t="shared" si="152"/>
        <v/>
      </c>
      <c r="S990" s="195" t="str">
        <f t="shared" si="154"/>
        <v/>
      </c>
      <c r="T990" s="196" t="str">
        <f t="shared" si="155"/>
        <v/>
      </c>
      <c r="U990" s="197" t="str">
        <f t="shared" si="156"/>
        <v/>
      </c>
      <c r="V990" s="198" t="str">
        <f t="shared" si="153"/>
        <v/>
      </c>
      <c r="W990" s="339" t="str">
        <f t="shared" si="157"/>
        <v/>
      </c>
      <c r="X990" s="341" t="str">
        <f t="shared" si="158"/>
        <v/>
      </c>
      <c r="Y990" s="277"/>
      <c r="AR990" t="str">
        <f t="shared" si="159"/>
        <v/>
      </c>
      <c r="AS990" t="str">
        <f t="shared" si="160"/>
        <v/>
      </c>
    </row>
    <row r="991" spans="1:45">
      <c r="A991" s="294"/>
      <c r="B991" s="295"/>
      <c r="C991" s="296"/>
      <c r="D991" s="296"/>
      <c r="E991" s="296"/>
      <c r="F991" s="296"/>
      <c r="G991" s="297"/>
      <c r="H991" s="303"/>
      <c r="I991" s="298"/>
      <c r="J991" s="298"/>
      <c r="K991" s="299"/>
      <c r="L991" s="304"/>
      <c r="M991" s="300"/>
      <c r="N991" s="301"/>
      <c r="P991" s="193" t="str">
        <f>IF(R991 = "", "", COUNT(R$4:$R991))</f>
        <v/>
      </c>
      <c r="Q991" s="193" t="str">
        <f t="shared" si="151"/>
        <v/>
      </c>
      <c r="R991" s="194" t="str">
        <f t="shared" si="152"/>
        <v/>
      </c>
      <c r="S991" s="195" t="str">
        <f t="shared" si="154"/>
        <v/>
      </c>
      <c r="T991" s="196" t="str">
        <f t="shared" si="155"/>
        <v/>
      </c>
      <c r="U991" s="197" t="str">
        <f t="shared" si="156"/>
        <v/>
      </c>
      <c r="V991" s="198" t="str">
        <f t="shared" si="153"/>
        <v/>
      </c>
      <c r="W991" s="339" t="str">
        <f t="shared" si="157"/>
        <v/>
      </c>
      <c r="X991" s="341" t="str">
        <f t="shared" si="158"/>
        <v/>
      </c>
      <c r="Y991" s="277"/>
      <c r="AR991" t="str">
        <f t="shared" si="159"/>
        <v/>
      </c>
      <c r="AS991" t="str">
        <f t="shared" si="160"/>
        <v/>
      </c>
    </row>
    <row r="992" spans="1:45">
      <c r="A992" s="294"/>
      <c r="B992" s="295"/>
      <c r="C992" s="296"/>
      <c r="D992" s="296"/>
      <c r="E992" s="296"/>
      <c r="F992" s="296"/>
      <c r="G992" s="297"/>
      <c r="H992" s="303"/>
      <c r="I992" s="298"/>
      <c r="J992" s="298"/>
      <c r="K992" s="299"/>
      <c r="L992" s="304"/>
      <c r="M992" s="300"/>
      <c r="N992" s="301"/>
      <c r="P992" s="193" t="str">
        <f>IF(R992 = "", "", COUNT(R$4:$R992))</f>
        <v/>
      </c>
      <c r="Q992" s="193" t="str">
        <f t="shared" si="151"/>
        <v/>
      </c>
      <c r="R992" s="194" t="str">
        <f t="shared" si="152"/>
        <v/>
      </c>
      <c r="S992" s="195" t="str">
        <f t="shared" si="154"/>
        <v/>
      </c>
      <c r="T992" s="196" t="str">
        <f t="shared" si="155"/>
        <v/>
      </c>
      <c r="U992" s="197" t="str">
        <f t="shared" si="156"/>
        <v/>
      </c>
      <c r="V992" s="198" t="str">
        <f t="shared" si="153"/>
        <v/>
      </c>
      <c r="W992" s="339" t="str">
        <f t="shared" si="157"/>
        <v/>
      </c>
      <c r="X992" s="341" t="str">
        <f t="shared" si="158"/>
        <v/>
      </c>
      <c r="Y992" s="277"/>
      <c r="AR992" t="str">
        <f t="shared" si="159"/>
        <v/>
      </c>
      <c r="AS992" t="str">
        <f t="shared" si="160"/>
        <v/>
      </c>
    </row>
    <row r="993" spans="1:45">
      <c r="A993" s="294"/>
      <c r="B993" s="295"/>
      <c r="C993" s="296"/>
      <c r="D993" s="296"/>
      <c r="E993" s="296"/>
      <c r="F993" s="296"/>
      <c r="G993" s="297"/>
      <c r="H993" s="303"/>
      <c r="I993" s="298"/>
      <c r="J993" s="298"/>
      <c r="K993" s="299"/>
      <c r="L993" s="304"/>
      <c r="M993" s="300"/>
      <c r="N993" s="301"/>
      <c r="P993" s="193" t="str">
        <f>IF(R993 = "", "", COUNT(R$4:$R993))</f>
        <v/>
      </c>
      <c r="Q993" s="193" t="str">
        <f t="shared" si="151"/>
        <v/>
      </c>
      <c r="R993" s="194" t="str">
        <f t="shared" si="152"/>
        <v/>
      </c>
      <c r="S993" s="195" t="str">
        <f t="shared" si="154"/>
        <v/>
      </c>
      <c r="T993" s="196" t="str">
        <f t="shared" si="155"/>
        <v/>
      </c>
      <c r="U993" s="197" t="str">
        <f t="shared" si="156"/>
        <v/>
      </c>
      <c r="V993" s="198" t="str">
        <f t="shared" si="153"/>
        <v/>
      </c>
      <c r="W993" s="339" t="str">
        <f t="shared" si="157"/>
        <v/>
      </c>
      <c r="X993" s="341" t="str">
        <f t="shared" si="158"/>
        <v/>
      </c>
      <c r="Y993" s="277"/>
      <c r="AR993" t="str">
        <f t="shared" si="159"/>
        <v/>
      </c>
      <c r="AS993" t="str">
        <f t="shared" si="160"/>
        <v/>
      </c>
    </row>
    <row r="994" spans="1:45">
      <c r="A994" s="294"/>
      <c r="B994" s="295"/>
      <c r="C994" s="296"/>
      <c r="D994" s="296"/>
      <c r="E994" s="296"/>
      <c r="F994" s="296"/>
      <c r="G994" s="297"/>
      <c r="H994" s="303"/>
      <c r="I994" s="298"/>
      <c r="J994" s="298"/>
      <c r="K994" s="299"/>
      <c r="L994" s="304"/>
      <c r="M994" s="300"/>
      <c r="N994" s="301"/>
      <c r="P994" s="193" t="str">
        <f>IF(R994 = "", "", COUNT(R$4:$R994))</f>
        <v/>
      </c>
      <c r="Q994" s="193" t="str">
        <f t="shared" si="151"/>
        <v/>
      </c>
      <c r="R994" s="194" t="str">
        <f t="shared" si="152"/>
        <v/>
      </c>
      <c r="S994" s="195" t="str">
        <f t="shared" si="154"/>
        <v/>
      </c>
      <c r="T994" s="196" t="str">
        <f t="shared" si="155"/>
        <v/>
      </c>
      <c r="U994" s="197" t="str">
        <f t="shared" si="156"/>
        <v/>
      </c>
      <c r="V994" s="198" t="str">
        <f t="shared" si="153"/>
        <v/>
      </c>
      <c r="W994" s="339" t="str">
        <f t="shared" si="157"/>
        <v/>
      </c>
      <c r="X994" s="341" t="str">
        <f t="shared" si="158"/>
        <v/>
      </c>
      <c r="Y994" s="277"/>
      <c r="AR994" t="str">
        <f t="shared" si="159"/>
        <v/>
      </c>
      <c r="AS994" t="str">
        <f t="shared" si="160"/>
        <v/>
      </c>
    </row>
    <row r="995" spans="1:45">
      <c r="A995" s="294"/>
      <c r="B995" s="295"/>
      <c r="C995" s="296"/>
      <c r="D995" s="296"/>
      <c r="E995" s="296"/>
      <c r="F995" s="296"/>
      <c r="G995" s="297"/>
      <c r="H995" s="303"/>
      <c r="I995" s="298"/>
      <c r="J995" s="298"/>
      <c r="K995" s="299"/>
      <c r="L995" s="304"/>
      <c r="M995" s="300"/>
      <c r="N995" s="301"/>
      <c r="P995" s="193" t="str">
        <f>IF(R995 = "", "", COUNT(R$4:$R995))</f>
        <v/>
      </c>
      <c r="Q995" s="193" t="str">
        <f t="shared" si="151"/>
        <v/>
      </c>
      <c r="R995" s="194" t="str">
        <f t="shared" si="152"/>
        <v/>
      </c>
      <c r="S995" s="195" t="str">
        <f t="shared" si="154"/>
        <v/>
      </c>
      <c r="T995" s="196" t="str">
        <f t="shared" si="155"/>
        <v/>
      </c>
      <c r="U995" s="197" t="str">
        <f t="shared" si="156"/>
        <v/>
      </c>
      <c r="V995" s="198" t="str">
        <f t="shared" si="153"/>
        <v/>
      </c>
      <c r="W995" s="339" t="str">
        <f t="shared" si="157"/>
        <v/>
      </c>
      <c r="X995" s="341" t="str">
        <f t="shared" si="158"/>
        <v/>
      </c>
      <c r="Y995" s="277"/>
      <c r="AR995" t="str">
        <f t="shared" si="159"/>
        <v/>
      </c>
      <c r="AS995" t="str">
        <f t="shared" si="160"/>
        <v/>
      </c>
    </row>
    <row r="996" spans="1:45">
      <c r="A996" s="294"/>
      <c r="B996" s="295"/>
      <c r="C996" s="296"/>
      <c r="D996" s="296"/>
      <c r="E996" s="296"/>
      <c r="F996" s="296"/>
      <c r="G996" s="297"/>
      <c r="H996" s="303"/>
      <c r="I996" s="298"/>
      <c r="J996" s="298"/>
      <c r="K996" s="299"/>
      <c r="L996" s="304"/>
      <c r="M996" s="300"/>
      <c r="N996" s="301"/>
      <c r="P996" s="193" t="str">
        <f>IF(R996 = "", "", COUNT(R$4:$R996))</f>
        <v/>
      </c>
      <c r="Q996" s="193" t="str">
        <f t="shared" si="151"/>
        <v/>
      </c>
      <c r="R996" s="194" t="str">
        <f t="shared" si="152"/>
        <v/>
      </c>
      <c r="S996" s="195" t="str">
        <f t="shared" si="154"/>
        <v/>
      </c>
      <c r="T996" s="196" t="str">
        <f t="shared" si="155"/>
        <v/>
      </c>
      <c r="U996" s="197" t="str">
        <f t="shared" si="156"/>
        <v/>
      </c>
      <c r="V996" s="198" t="str">
        <f t="shared" si="153"/>
        <v/>
      </c>
      <c r="W996" s="339" t="str">
        <f t="shared" si="157"/>
        <v/>
      </c>
      <c r="X996" s="341" t="str">
        <f t="shared" si="158"/>
        <v/>
      </c>
      <c r="Y996" s="277"/>
      <c r="AR996" t="str">
        <f t="shared" si="159"/>
        <v/>
      </c>
      <c r="AS996" t="str">
        <f t="shared" si="160"/>
        <v/>
      </c>
    </row>
    <row r="997" spans="1:45">
      <c r="A997" s="294"/>
      <c r="B997" s="295"/>
      <c r="C997" s="296"/>
      <c r="D997" s="296"/>
      <c r="E997" s="296"/>
      <c r="F997" s="296"/>
      <c r="G997" s="297"/>
      <c r="H997" s="303"/>
      <c r="I997" s="298"/>
      <c r="J997" s="298"/>
      <c r="K997" s="299"/>
      <c r="L997" s="304"/>
      <c r="M997" s="300"/>
      <c r="N997" s="301"/>
      <c r="P997" s="193" t="str">
        <f>IF(R997 = "", "", COUNT(R$4:$R997))</f>
        <v/>
      </c>
      <c r="Q997" s="193" t="str">
        <f t="shared" si="151"/>
        <v/>
      </c>
      <c r="R997" s="194" t="str">
        <f t="shared" si="152"/>
        <v/>
      </c>
      <c r="S997" s="195" t="str">
        <f t="shared" si="154"/>
        <v/>
      </c>
      <c r="T997" s="196" t="str">
        <f t="shared" si="155"/>
        <v/>
      </c>
      <c r="U997" s="197" t="str">
        <f t="shared" si="156"/>
        <v/>
      </c>
      <c r="V997" s="198" t="str">
        <f t="shared" si="153"/>
        <v/>
      </c>
      <c r="W997" s="339" t="str">
        <f t="shared" si="157"/>
        <v/>
      </c>
      <c r="X997" s="341" t="str">
        <f t="shared" si="158"/>
        <v/>
      </c>
      <c r="Y997" s="277"/>
      <c r="AR997" t="str">
        <f t="shared" si="159"/>
        <v/>
      </c>
      <c r="AS997" t="str">
        <f t="shared" si="160"/>
        <v/>
      </c>
    </row>
    <row r="998" spans="1:45">
      <c r="A998" s="294"/>
      <c r="B998" s="295"/>
      <c r="C998" s="296"/>
      <c r="D998" s="296"/>
      <c r="E998" s="296"/>
      <c r="F998" s="296"/>
      <c r="G998" s="297"/>
      <c r="H998" s="303"/>
      <c r="I998" s="298"/>
      <c r="J998" s="298"/>
      <c r="K998" s="299"/>
      <c r="L998" s="304"/>
      <c r="M998" s="300"/>
      <c r="N998" s="301"/>
      <c r="P998" s="193" t="str">
        <f>IF(R998 = "", "", COUNT(R$4:$R998))</f>
        <v/>
      </c>
      <c r="Q998" s="193" t="str">
        <f t="shared" si="151"/>
        <v/>
      </c>
      <c r="R998" s="194" t="str">
        <f t="shared" si="152"/>
        <v/>
      </c>
      <c r="S998" s="195" t="str">
        <f t="shared" si="154"/>
        <v/>
      </c>
      <c r="T998" s="196" t="str">
        <f t="shared" si="155"/>
        <v/>
      </c>
      <c r="U998" s="197" t="str">
        <f t="shared" si="156"/>
        <v/>
      </c>
      <c r="V998" s="198" t="str">
        <f t="shared" si="153"/>
        <v/>
      </c>
      <c r="W998" s="339" t="str">
        <f t="shared" si="157"/>
        <v/>
      </c>
      <c r="X998" s="341" t="str">
        <f t="shared" si="158"/>
        <v/>
      </c>
      <c r="Y998" s="277"/>
      <c r="AR998" t="str">
        <f t="shared" si="159"/>
        <v/>
      </c>
      <c r="AS998" t="str">
        <f t="shared" si="160"/>
        <v/>
      </c>
    </row>
    <row r="999" spans="1:45">
      <c r="A999" s="294"/>
      <c r="B999" s="295"/>
      <c r="C999" s="296"/>
      <c r="D999" s="296"/>
      <c r="E999" s="296"/>
      <c r="F999" s="296"/>
      <c r="G999" s="297"/>
      <c r="H999" s="303"/>
      <c r="I999" s="298"/>
      <c r="J999" s="298"/>
      <c r="K999" s="299"/>
      <c r="L999" s="304"/>
      <c r="M999" s="300"/>
      <c r="N999" s="301"/>
      <c r="P999" s="193" t="str">
        <f>IF(R999 = "", "", COUNT(R$4:$R999))</f>
        <v/>
      </c>
      <c r="Q999" s="193" t="str">
        <f t="shared" si="151"/>
        <v/>
      </c>
      <c r="R999" s="194" t="str">
        <f t="shared" si="152"/>
        <v/>
      </c>
      <c r="S999" s="195" t="str">
        <f t="shared" si="154"/>
        <v/>
      </c>
      <c r="T999" s="196" t="str">
        <f t="shared" si="155"/>
        <v/>
      </c>
      <c r="U999" s="197" t="str">
        <f t="shared" si="156"/>
        <v/>
      </c>
      <c r="V999" s="198" t="str">
        <f t="shared" si="153"/>
        <v/>
      </c>
      <c r="W999" s="339" t="str">
        <f t="shared" si="157"/>
        <v/>
      </c>
      <c r="X999" s="341" t="str">
        <f t="shared" si="158"/>
        <v/>
      </c>
      <c r="Y999" s="277"/>
      <c r="AR999" t="str">
        <f t="shared" si="159"/>
        <v/>
      </c>
      <c r="AS999" t="str">
        <f t="shared" si="160"/>
        <v/>
      </c>
    </row>
    <row r="1000" spans="1:45">
      <c r="A1000" s="294"/>
      <c r="B1000" s="295"/>
      <c r="C1000" s="296"/>
      <c r="D1000" s="296"/>
      <c r="E1000" s="296"/>
      <c r="F1000" s="296"/>
      <c r="G1000" s="297"/>
      <c r="H1000" s="303"/>
      <c r="I1000" s="298"/>
      <c r="J1000" s="298"/>
      <c r="K1000" s="299"/>
      <c r="L1000" s="304"/>
      <c r="M1000" s="300"/>
      <c r="N1000" s="301"/>
      <c r="P1000" s="193" t="str">
        <f>IF(R1000 = "", "", COUNT(R$4:$R1000))</f>
        <v/>
      </c>
      <c r="Q1000" s="193" t="str">
        <f t="shared" si="151"/>
        <v/>
      </c>
      <c r="R1000" s="194" t="str">
        <f t="shared" si="152"/>
        <v/>
      </c>
      <c r="S1000" s="195" t="str">
        <f t="shared" si="154"/>
        <v/>
      </c>
      <c r="T1000" s="196" t="str">
        <f t="shared" si="155"/>
        <v/>
      </c>
      <c r="U1000" s="197" t="str">
        <f t="shared" si="156"/>
        <v/>
      </c>
      <c r="V1000" s="198" t="str">
        <f t="shared" si="153"/>
        <v/>
      </c>
      <c r="W1000" s="339" t="str">
        <f t="shared" si="157"/>
        <v/>
      </c>
      <c r="X1000" s="341" t="str">
        <f t="shared" si="158"/>
        <v/>
      </c>
      <c r="Y1000" s="277"/>
      <c r="AR1000" t="str">
        <f t="shared" si="159"/>
        <v/>
      </c>
      <c r="AS1000" t="str">
        <f t="shared" si="160"/>
        <v/>
      </c>
    </row>
    <row r="1001" spans="1:45">
      <c r="A1001" s="294"/>
      <c r="B1001" s="295"/>
      <c r="C1001" s="296"/>
      <c r="D1001" s="296"/>
      <c r="E1001" s="296"/>
      <c r="F1001" s="296"/>
      <c r="G1001" s="297"/>
      <c r="H1001" s="303"/>
      <c r="I1001" s="298"/>
      <c r="J1001" s="298"/>
      <c r="K1001" s="299"/>
      <c r="L1001" s="304"/>
      <c r="M1001" s="300"/>
      <c r="N1001" s="301"/>
      <c r="P1001" s="193" t="str">
        <f>IF(R1001 = "", "", COUNT(R$4:$R1001))</f>
        <v/>
      </c>
      <c r="Q1001" s="193" t="str">
        <f t="shared" si="151"/>
        <v/>
      </c>
      <c r="R1001" s="194" t="str">
        <f t="shared" si="152"/>
        <v/>
      </c>
      <c r="S1001" s="195" t="str">
        <f t="shared" si="154"/>
        <v/>
      </c>
      <c r="T1001" s="196" t="str">
        <f t="shared" si="155"/>
        <v/>
      </c>
      <c r="U1001" s="197" t="str">
        <f t="shared" si="156"/>
        <v/>
      </c>
      <c r="V1001" s="198" t="str">
        <f t="shared" si="153"/>
        <v/>
      </c>
      <c r="W1001" s="339" t="str">
        <f t="shared" si="157"/>
        <v/>
      </c>
      <c r="X1001" s="341" t="str">
        <f t="shared" si="158"/>
        <v/>
      </c>
      <c r="Y1001" s="277"/>
      <c r="AR1001" t="str">
        <f t="shared" si="159"/>
        <v/>
      </c>
      <c r="AS1001" t="str">
        <f t="shared" si="160"/>
        <v/>
      </c>
    </row>
    <row r="1002" spans="1:45">
      <c r="A1002" s="294"/>
      <c r="B1002" s="295"/>
      <c r="C1002" s="296"/>
      <c r="D1002" s="296"/>
      <c r="E1002" s="296"/>
      <c r="F1002" s="296"/>
      <c r="G1002" s="297"/>
      <c r="H1002" s="303"/>
      <c r="I1002" s="298"/>
      <c r="J1002" s="298"/>
      <c r="K1002" s="299"/>
      <c r="L1002" s="304"/>
      <c r="M1002" s="300"/>
      <c r="N1002" s="301"/>
      <c r="P1002" s="193" t="str">
        <f>IF(R1002 = "", "", COUNT(R$4:$R1002))</f>
        <v/>
      </c>
      <c r="Q1002" s="193" t="str">
        <f t="shared" si="151"/>
        <v/>
      </c>
      <c r="R1002" s="194" t="str">
        <f t="shared" si="152"/>
        <v/>
      </c>
      <c r="S1002" s="195" t="str">
        <f t="shared" si="154"/>
        <v/>
      </c>
      <c r="T1002" s="196" t="str">
        <f t="shared" si="155"/>
        <v/>
      </c>
      <c r="U1002" s="197" t="str">
        <f t="shared" si="156"/>
        <v/>
      </c>
      <c r="V1002" s="198" t="str">
        <f t="shared" si="153"/>
        <v/>
      </c>
      <c r="W1002" s="339" t="str">
        <f t="shared" si="157"/>
        <v/>
      </c>
      <c r="X1002" s="341" t="str">
        <f t="shared" si="158"/>
        <v/>
      </c>
      <c r="Y1002" s="277"/>
      <c r="AR1002" t="str">
        <f t="shared" si="159"/>
        <v/>
      </c>
      <c r="AS1002" t="str">
        <f t="shared" si="160"/>
        <v/>
      </c>
    </row>
    <row r="1003" spans="1:45" ht="14.7" thickBot="1">
      <c r="A1003" s="309"/>
      <c r="B1003" s="310"/>
      <c r="C1003" s="311"/>
      <c r="D1003" s="311"/>
      <c r="E1003" s="311"/>
      <c r="F1003" s="311"/>
      <c r="G1003" s="312"/>
      <c r="H1003" s="303"/>
      <c r="I1003" s="298"/>
      <c r="J1003" s="298"/>
      <c r="K1003" s="299"/>
      <c r="L1003" s="313"/>
      <c r="M1003" s="314"/>
      <c r="N1003" s="315"/>
      <c r="P1003" s="193" t="str">
        <f>IF(R1003 = "", "", COUNT(R$4:$R1003))</f>
        <v/>
      </c>
      <c r="Q1003" s="193" t="str">
        <f t="shared" si="151"/>
        <v/>
      </c>
      <c r="R1003" s="194" t="str">
        <f t="shared" si="152"/>
        <v/>
      </c>
      <c r="S1003" s="195" t="str">
        <f t="shared" si="154"/>
        <v/>
      </c>
      <c r="T1003" s="196" t="str">
        <f t="shared" si="155"/>
        <v/>
      </c>
      <c r="U1003" s="199" t="str">
        <f t="shared" si="156"/>
        <v/>
      </c>
      <c r="V1003" s="200" t="str">
        <f t="shared" si="153"/>
        <v/>
      </c>
      <c r="W1003" s="339" t="str">
        <f t="shared" si="157"/>
        <v/>
      </c>
      <c r="X1003" s="342" t="str">
        <f t="shared" si="158"/>
        <v/>
      </c>
      <c r="Y1003" s="277"/>
      <c r="AR1003" t="str">
        <f t="shared" si="159"/>
        <v/>
      </c>
      <c r="AS1003" t="str">
        <f t="shared" si="160"/>
        <v/>
      </c>
    </row>
    <row r="1004" spans="1:45" s="321" customFormat="1">
      <c r="A1004" s="316"/>
      <c r="B1004" s="317"/>
      <c r="C1004" s="316"/>
      <c r="D1004" s="316"/>
      <c r="E1004" s="316"/>
      <c r="F1004" s="316"/>
      <c r="G1004" s="316"/>
      <c r="H1004" s="316"/>
      <c r="I1004" s="316"/>
      <c r="J1004" s="316"/>
      <c r="K1004" s="316"/>
      <c r="L1004" s="318"/>
      <c r="M1004" s="319"/>
      <c r="N1004" s="320"/>
      <c r="O1004" s="292"/>
      <c r="P1004" s="316"/>
      <c r="Q1004" s="316"/>
      <c r="R1004" s="316"/>
      <c r="S1004" s="316"/>
      <c r="T1004" s="316"/>
      <c r="U1004" s="316"/>
      <c r="V1004" s="316"/>
      <c r="W1004" s="316"/>
      <c r="X1004" s="316"/>
      <c r="Y1004" s="316"/>
      <c r="Z1004" s="98"/>
      <c r="AA1004" s="98"/>
      <c r="AB1004" s="98"/>
      <c r="AC1004" s="98"/>
      <c r="AD1004" s="98"/>
      <c r="AE1004" s="98"/>
      <c r="AF1004" s="98"/>
      <c r="AG1004" s="98"/>
      <c r="AH1004" s="98"/>
      <c r="AI1004" s="98"/>
      <c r="AJ1004" s="98"/>
      <c r="AR1004" s="336"/>
      <c r="AS1004" s="336"/>
    </row>
    <row r="1005" spans="1:45">
      <c r="H1005" s="207"/>
      <c r="I1005" s="207"/>
      <c r="J1005" s="207"/>
      <c r="K1005" s="207"/>
    </row>
    <row r="1006" spans="1:45">
      <c r="H1006" s="207"/>
      <c r="I1006" s="207"/>
      <c r="J1006" s="207"/>
      <c r="K1006" s="207"/>
    </row>
    <row r="1007" spans="1:45">
      <c r="H1007" s="207"/>
      <c r="I1007" s="207"/>
      <c r="J1007" s="207"/>
      <c r="K1007" s="207"/>
    </row>
    <row r="1008" spans="1:45">
      <c r="H1008" s="207"/>
      <c r="I1008" s="207"/>
      <c r="J1008" s="207"/>
      <c r="K1008" s="207"/>
    </row>
    <row r="1009" spans="8:11">
      <c r="H1009" s="207"/>
      <c r="I1009" s="207"/>
      <c r="J1009" s="207"/>
      <c r="K1009" s="207"/>
    </row>
    <row r="1010" spans="8:11">
      <c r="H1010" s="207"/>
      <c r="I1010" s="207"/>
      <c r="J1010" s="207"/>
      <c r="K1010" s="207"/>
    </row>
  </sheetData>
  <autoFilter ref="A3:M23" xr:uid="{243D5DF6-C14B-4A9C-AF8D-BE77476CB822}"/>
  <mergeCells count="24">
    <mergeCell ref="Z40:Z41"/>
    <mergeCell ref="AA40:AG41"/>
    <mergeCell ref="AA28:AG28"/>
    <mergeCell ref="AB32:AG35"/>
    <mergeCell ref="AB36:AG37"/>
    <mergeCell ref="AB38:AG39"/>
    <mergeCell ref="Z28:Z39"/>
    <mergeCell ref="A2:M2"/>
    <mergeCell ref="P2:P3"/>
    <mergeCell ref="Q2:Q3"/>
    <mergeCell ref="R2:R3"/>
    <mergeCell ref="A1:N1"/>
    <mergeCell ref="S2:S3"/>
    <mergeCell ref="T2:T3"/>
    <mergeCell ref="U2:U3"/>
    <mergeCell ref="P1:AG1"/>
    <mergeCell ref="V2:V3"/>
    <mergeCell ref="W2:W3"/>
    <mergeCell ref="X2:X3"/>
    <mergeCell ref="Z14:AG14"/>
    <mergeCell ref="AA15:AG18"/>
    <mergeCell ref="AB19:AG23"/>
    <mergeCell ref="AB24:AG27"/>
    <mergeCell ref="Z15:Z27"/>
  </mergeCells>
  <conditionalFormatting sqref="D4:D1003">
    <cfRule type="cellIs" dxfId="31" priority="2" operator="between">
      <formula>4</formula>
      <formula>6</formula>
    </cfRule>
    <cfRule type="cellIs" dxfId="30" priority="3" operator="between">
      <formula>2</formula>
      <formula>3</formula>
    </cfRule>
  </conditionalFormatting>
  <conditionalFormatting sqref="F4:F1003">
    <cfRule type="cellIs" dxfId="29" priority="1" operator="between">
      <formula>4</formula>
      <formula>6</formula>
    </cfRule>
  </conditionalFormatting>
  <dataValidations count="4">
    <dataValidation type="list" allowBlank="1" showInputMessage="1" showErrorMessage="1" errorTitle="Target flag" error="Type Y for a target crash, otherwise leave the cell blank (anything else counts as a target)." promptTitle="Target" prompt="Y if this crash is in the target group, otherwise blank." sqref="L4:M1003" xr:uid="{09B212D7-34AF-4204-82CE-C545F372C807}">
      <formula1>YList</formula1>
    </dataValidation>
    <dataValidation type="list" allowBlank="1" showInputMessage="1" showErrorMessage="1" errorTitle="At fault" error="V1, V2 or Unclear." promptTitle="At Fault" prompt="Blank = V1. V2 if the other vehicle was at fault (e.g. thru vehicle ran the light, or ghost vehicle in an avoidance crash). Unclear if fault is unclear." sqref="K4:K1003" xr:uid="{804AE052-26BC-48FB-BBE1-400CBA5523A9}">
      <formula1>AtFaultList</formula1>
    </dataValidation>
    <dataValidation type="list" allowBlank="1" showInputMessage="1" showErrorMessage="1" errorTitle="Vehicle code" error="Use direction + movement: NBT, NBL, NBR, NBU, SBT ... WBU, or Unk." promptTitle="Vehicle" prompt="Direction + movement, e.g. WBL. Vehicle 1 = turning vehicle (LT/RT/U), run-off vehicle (ROR), rear vehicle (RE), at-fault vehicle (Angle/Head on). Vehicle 2 = the other vehicle (ghost vehicle for avoidance crashes)." sqref="I4:J1003" xr:uid="{5251163B-6118-44C2-9389-BF39A557D09B}">
      <formula1>VehicleCodeList</formula1>
    </dataValidation>
    <dataValidation type="list" allowBlank="1" showInputMessage="1" showErrorMessage="1" errorTitle="Crash type" error="Pick a type from the list (see the Lists sheet), or leave blank to use the type implied by the T code." promptTitle="Crash Type" prompt="Blank = type implied by the T code in column C. Fixed-object crashes (T=19) must be typed by hand (RORR/RORL/RORS)." sqref="H4:H1003" xr:uid="{F6032C13-D74F-46CC-BE7C-6730D3BB65FD}">
      <formula1>CrashTypeList</formula1>
    </dataValidation>
  </dataValidation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83CE95-186C-43BE-B639-843E26C47CE2}">
  <sheetPr codeName="Sheet12"/>
  <dimension ref="A1:AS1004"/>
  <sheetViews>
    <sheetView topLeftCell="A13" workbookViewId="0">
      <selection activeCell="L39" sqref="L39"/>
    </sheetView>
  </sheetViews>
  <sheetFormatPr defaultColWidth="9.15625" defaultRowHeight="14.4"/>
  <cols>
    <col min="1" max="1" width="10" style="98" bestFit="1" customWidth="1"/>
    <col min="2" max="2" width="10.734375" style="337" bestFit="1" customWidth="1"/>
    <col min="3" max="7" width="3.5234375" style="207" customWidth="1"/>
    <col min="8" max="8" width="11" style="98" customWidth="1"/>
    <col min="9" max="10" width="9.47265625" style="98" customWidth="1"/>
    <col min="11" max="11" width="8.47265625" style="98" customWidth="1"/>
    <col min="12" max="12" width="10.26171875" style="323" customWidth="1"/>
    <col min="13" max="13" width="10.26171875" style="338" customWidth="1"/>
    <col min="14" max="14" width="9.15625" style="325" hidden="1" customWidth="1"/>
    <col min="15" max="15" width="2.26171875" style="292" customWidth="1"/>
    <col min="16" max="16" width="7.26171875" style="207" bestFit="1" customWidth="1"/>
    <col min="17" max="17" width="5.7890625" style="207" bestFit="1" customWidth="1"/>
    <col min="18" max="20" width="9.15625" style="207"/>
    <col min="21" max="22" width="9.15625" style="324"/>
    <col min="23" max="24" width="9.15625" style="324" hidden="1" customWidth="1"/>
    <col min="25" max="25" width="2.26171875" style="98" customWidth="1"/>
    <col min="26" max="26" width="5.47265625" style="98" bestFit="1" customWidth="1"/>
    <col min="27" max="27" width="5.5234375" style="98" customWidth="1"/>
    <col min="28" max="30" width="9.15625" style="98"/>
    <col min="31" max="31" width="10.26171875" style="98" hidden="1" customWidth="1"/>
    <col min="32" max="33" width="11.734375" style="98" customWidth="1"/>
    <col min="34" max="35" width="9.15625" style="98"/>
    <col min="36" max="43" width="9.15625" style="98" customWidth="1"/>
    <col min="44" max="45" width="9.15625" hidden="1" customWidth="1"/>
    <col min="46" max="16384" width="9.15625" style="98"/>
  </cols>
  <sheetData>
    <row r="1" spans="1:45" ht="37.5" customHeight="1" thickBot="1">
      <c r="A1" s="796" t="s">
        <v>129</v>
      </c>
      <c r="B1" s="797"/>
      <c r="C1" s="797"/>
      <c r="D1" s="797"/>
      <c r="E1" s="797"/>
      <c r="F1" s="797"/>
      <c r="G1" s="797"/>
      <c r="H1" s="797"/>
      <c r="I1" s="797"/>
      <c r="J1" s="797"/>
      <c r="K1" s="797"/>
      <c r="L1" s="797"/>
      <c r="M1" s="797"/>
      <c r="N1" s="797"/>
      <c r="O1" s="265"/>
      <c r="P1" s="798" t="s">
        <v>130</v>
      </c>
      <c r="Q1" s="771"/>
      <c r="R1" s="771"/>
      <c r="S1" s="771"/>
      <c r="T1" s="771"/>
      <c r="U1" s="771"/>
      <c r="V1" s="771"/>
      <c r="W1" s="771"/>
      <c r="X1" s="771"/>
      <c r="Y1" s="771"/>
      <c r="Z1" s="771"/>
      <c r="AA1" s="771"/>
      <c r="AB1" s="771"/>
      <c r="AC1" s="771"/>
      <c r="AD1" s="771"/>
      <c r="AE1" s="771"/>
      <c r="AF1" s="771"/>
      <c r="AG1" s="772"/>
    </row>
    <row r="2" spans="1:45" s="97" customFormat="1" ht="18" customHeight="1" thickBot="1">
      <c r="A2" s="775" t="str">
        <f>"After Period ("&amp;TEXT('Evaluation Set-up'!D11, "mm/dd/yy")&amp;" - "&amp;TEXT('Evaluation Set-up'!E11, "mm/dd/yy")&amp;")"</f>
        <v>After Period (08/01/22 - 08/31/26)</v>
      </c>
      <c r="B2" s="776"/>
      <c r="C2" s="776"/>
      <c r="D2" s="776"/>
      <c r="E2" s="776"/>
      <c r="F2" s="776"/>
      <c r="G2" s="776"/>
      <c r="H2" s="776"/>
      <c r="I2" s="776"/>
      <c r="J2" s="776"/>
      <c r="K2" s="776"/>
      <c r="L2" s="776"/>
      <c r="M2" s="776"/>
      <c r="N2" s="776"/>
      <c r="O2" s="267"/>
      <c r="P2" s="777" t="s">
        <v>11</v>
      </c>
      <c r="Q2" s="767" t="s">
        <v>30</v>
      </c>
      <c r="R2" s="767" t="s">
        <v>12</v>
      </c>
      <c r="S2" s="767" t="s">
        <v>50</v>
      </c>
      <c r="T2" s="767" t="s">
        <v>51</v>
      </c>
      <c r="U2" s="767" t="s">
        <v>52</v>
      </c>
      <c r="V2" s="767" t="s">
        <v>53</v>
      </c>
      <c r="W2" s="767" t="s">
        <v>368</v>
      </c>
      <c r="X2" s="773" t="s">
        <v>371</v>
      </c>
      <c r="Y2" s="268"/>
      <c r="AR2" s="257"/>
      <c r="AS2" s="257"/>
    </row>
    <row r="3" spans="1:45" ht="14.7" thickBot="1">
      <c r="A3" s="269" t="s">
        <v>0</v>
      </c>
      <c r="B3" s="270" t="s">
        <v>1</v>
      </c>
      <c r="C3" s="271" t="s">
        <v>2</v>
      </c>
      <c r="D3" s="271" t="s">
        <v>3</v>
      </c>
      <c r="E3" s="271" t="s">
        <v>4</v>
      </c>
      <c r="F3" s="271" t="s">
        <v>5</v>
      </c>
      <c r="G3" s="272" t="s">
        <v>6</v>
      </c>
      <c r="H3" s="269" t="s">
        <v>777</v>
      </c>
      <c r="I3" s="269" t="s">
        <v>778</v>
      </c>
      <c r="J3" s="269" t="s">
        <v>779</v>
      </c>
      <c r="K3" s="269" t="s">
        <v>716</v>
      </c>
      <c r="L3" s="273" t="s">
        <v>57</v>
      </c>
      <c r="M3" s="274" t="s">
        <v>58</v>
      </c>
      <c r="N3" s="275" t="s">
        <v>369</v>
      </c>
      <c r="O3" s="276"/>
      <c r="P3" s="778"/>
      <c r="Q3" s="768"/>
      <c r="R3" s="768"/>
      <c r="S3" s="768"/>
      <c r="T3" s="768"/>
      <c r="U3" s="768"/>
      <c r="V3" s="768"/>
      <c r="W3" s="768"/>
      <c r="X3" s="774"/>
      <c r="Y3" s="277"/>
      <c r="AB3" s="278" t="s">
        <v>13</v>
      </c>
      <c r="AC3" s="279" t="s">
        <v>47</v>
      </c>
      <c r="AD3" s="280" t="s">
        <v>49</v>
      </c>
      <c r="AE3" s="281" t="s">
        <v>370</v>
      </c>
      <c r="AF3" s="282" t="s">
        <v>60</v>
      </c>
      <c r="AR3" t="s">
        <v>11</v>
      </c>
      <c r="AS3" t="s">
        <v>62</v>
      </c>
    </row>
    <row r="4" spans="1:45">
      <c r="A4" s="283">
        <v>106802462</v>
      </c>
      <c r="B4" s="284">
        <v>44544</v>
      </c>
      <c r="C4" s="285">
        <v>23</v>
      </c>
      <c r="D4" s="285">
        <v>1</v>
      </c>
      <c r="E4" s="285">
        <v>4</v>
      </c>
      <c r="F4" s="285">
        <v>1</v>
      </c>
      <c r="G4" s="286" t="s">
        <v>7</v>
      </c>
      <c r="H4" s="288" t="s">
        <v>1256</v>
      </c>
      <c r="I4" s="287" t="s">
        <v>1257</v>
      </c>
      <c r="J4" s="298" t="s">
        <v>1238</v>
      </c>
      <c r="K4" s="288" t="s">
        <v>721</v>
      </c>
      <c r="L4" s="590" t="s">
        <v>61</v>
      </c>
      <c r="M4" s="591"/>
      <c r="N4" s="291"/>
      <c r="P4" s="193">
        <f>IF(R4 = "", "", COUNT(R$4:$R4))</f>
        <v>1</v>
      </c>
      <c r="Q4" s="193">
        <f t="shared" ref="Q4:Q67" si="0">IF(C4 &gt; 0, YEAR(B4), "")</f>
        <v>2021</v>
      </c>
      <c r="R4" s="194">
        <f t="shared" ref="R4:R67" si="1">IF(A4="", "", IF(G4="",1,IF(G4="O",1,IF(G4="C",8.4,IF(G4="B",8.4,IF(G4="A",76.8,IF(G4="K",76.8,"ERR")))))))</f>
        <v>1</v>
      </c>
      <c r="S4" s="195">
        <f>IF(L4&lt;&gt;"",R4,"")</f>
        <v>1</v>
      </c>
      <c r="T4" s="196" t="str">
        <f>IF(IF(L4&lt;&gt;"",G4,"")=0, "O", IF(L4&lt;&gt;"",G4,""))</f>
        <v>O</v>
      </c>
      <c r="U4" s="197" t="str">
        <f>IF(M4&lt;&gt;"",R4,"")</f>
        <v/>
      </c>
      <c r="V4" s="198" t="str">
        <f t="shared" ref="V4:V67" si="2">IF(IF(M4&lt;&gt;"",G4,"")=0, "O", IF(M4&lt;&gt;"",G4,""))</f>
        <v/>
      </c>
      <c r="W4" s="339" t="str">
        <f>IF(N4="Y",R4,"")</f>
        <v/>
      </c>
      <c r="X4" s="340" t="str">
        <f>IF(IF(N4="Y",F4,"")=0, "O", IF(N4="Y",F4,""))</f>
        <v/>
      </c>
      <c r="Y4" s="277"/>
      <c r="AA4" s="293" t="s">
        <v>9</v>
      </c>
      <c r="AB4" s="326">
        <f>COUNTIF($G$4:$G$1048576,$AA4)</f>
        <v>0</v>
      </c>
      <c r="AC4" s="327">
        <f>COUNTIF($T$4:$T$1048576,$AA4)</f>
        <v>0</v>
      </c>
      <c r="AD4" s="328">
        <f>COUNTIF($V$4:$V$1048576,$AA4)</f>
        <v>0</v>
      </c>
      <c r="AE4" s="329">
        <f>COUNTIF($X$4:$X$1048576,$AA4)</f>
        <v>0</v>
      </c>
      <c r="AF4" s="330">
        <f>COUNTIF($T:$T, AA4)+COUNTIF($V:$V, AA4)+COUNTIF($X:$X, AA4)-COUNTIFS($T:$T, AA4, $V:$V, AA4,$X:$X,AA4)</f>
        <v>0</v>
      </c>
      <c r="AR4">
        <f>IF(P4&gt;0, P4, "")</f>
        <v>1</v>
      </c>
      <c r="AS4" t="str">
        <f>IF(OR(L4="Y",M4="Y",N4="Y"),"Y","")</f>
        <v>Y</v>
      </c>
    </row>
    <row r="5" spans="1:45">
      <c r="A5" s="294">
        <v>106812334</v>
      </c>
      <c r="B5" s="295">
        <v>44553</v>
      </c>
      <c r="C5" s="296">
        <v>24</v>
      </c>
      <c r="D5" s="296">
        <v>1</v>
      </c>
      <c r="E5" s="296">
        <v>0</v>
      </c>
      <c r="F5" s="296">
        <v>1</v>
      </c>
      <c r="G5" s="297" t="s">
        <v>7</v>
      </c>
      <c r="H5" s="288" t="s">
        <v>1245</v>
      </c>
      <c r="I5" s="298" t="s">
        <v>1240</v>
      </c>
      <c r="J5" s="298" t="s">
        <v>774</v>
      </c>
      <c r="K5" s="299" t="s">
        <v>723</v>
      </c>
      <c r="L5" s="592"/>
      <c r="M5" s="593"/>
      <c r="N5" s="301"/>
      <c r="P5" s="193">
        <f>IF(R5 = "", "", COUNT(R$4:$R5))</f>
        <v>2</v>
      </c>
      <c r="Q5" s="193">
        <f t="shared" si="0"/>
        <v>2021</v>
      </c>
      <c r="R5" s="194">
        <f t="shared" si="1"/>
        <v>1</v>
      </c>
      <c r="S5" s="195" t="str">
        <f t="shared" ref="S5:S68" si="3">IF(L5&lt;&gt;"",R5,"")</f>
        <v/>
      </c>
      <c r="T5" s="196" t="str">
        <f t="shared" ref="T5:T68" si="4">IF(IF(L5&lt;&gt;"",G5,"")=0, "O", IF(L5&lt;&gt;"",G5,""))</f>
        <v/>
      </c>
      <c r="U5" s="197" t="str">
        <f t="shared" ref="U5:U68" si="5">IF(M5&lt;&gt;"",R5,"")</f>
        <v/>
      </c>
      <c r="V5" s="198" t="str">
        <f t="shared" si="2"/>
        <v/>
      </c>
      <c r="W5" s="339" t="str">
        <f t="shared" ref="W5:W68" si="6">IF(N5&lt;&gt;"",R5,"")</f>
        <v/>
      </c>
      <c r="X5" s="341" t="str">
        <f t="shared" ref="X5:X68" si="7">IF(IF(N5&lt;&gt;"",G5,"")=0, "O", IF(N5&lt;&gt;"",G5,""))</f>
        <v/>
      </c>
      <c r="Y5" s="277"/>
      <c r="AA5" s="293" t="s">
        <v>10</v>
      </c>
      <c r="AB5" s="326">
        <f>COUNTIF($G$4:$G$1048576,$AA5)</f>
        <v>0</v>
      </c>
      <c r="AC5" s="327">
        <f>COUNTIF($T$4:$T$1048576,$AA5)</f>
        <v>0</v>
      </c>
      <c r="AD5" s="328">
        <f>COUNTIF($V$4:$V$1048576,$AA5)</f>
        <v>0</v>
      </c>
      <c r="AE5" s="329">
        <f>COUNTIF($X$4:$X$1048576,$AA5)</f>
        <v>0</v>
      </c>
      <c r="AF5" s="330">
        <f t="shared" ref="AF5:AF8" si="8">COUNTIF($T:$T, AA5)+COUNTIF($V:$V, AA5)+COUNTIF($X:$X, AA5)-COUNTIFS($T:$T, AA5, $V:$V, AA5,$X:$X,AA5)</f>
        <v>0</v>
      </c>
      <c r="AR5">
        <f t="shared" ref="AR5:AR68" si="9">IF(P5&gt;0, P5, "")</f>
        <v>2</v>
      </c>
      <c r="AS5" t="str">
        <f t="shared" ref="AS5:AS68" si="10">IF(OR(L5="Y",M5="Y",N5="Y"),"Y","")</f>
        <v/>
      </c>
    </row>
    <row r="6" spans="1:45">
      <c r="A6" s="294">
        <v>106907157</v>
      </c>
      <c r="B6" s="295">
        <v>44652</v>
      </c>
      <c r="C6" s="296">
        <v>30</v>
      </c>
      <c r="D6" s="296">
        <v>1</v>
      </c>
      <c r="E6" s="296">
        <v>7</v>
      </c>
      <c r="F6" s="296">
        <v>1</v>
      </c>
      <c r="G6" s="297" t="s">
        <v>7</v>
      </c>
      <c r="H6" s="288" t="s">
        <v>1262</v>
      </c>
      <c r="I6" s="298" t="s">
        <v>1238</v>
      </c>
      <c r="J6" s="298" t="s">
        <v>772</v>
      </c>
      <c r="K6" s="299" t="s">
        <v>724</v>
      </c>
      <c r="L6" s="592"/>
      <c r="M6" s="593"/>
      <c r="N6" s="301"/>
      <c r="P6" s="193">
        <f>IF(R6 = "", "", COUNT(R$4:$R6))</f>
        <v>3</v>
      </c>
      <c r="Q6" s="193">
        <f t="shared" si="0"/>
        <v>2022</v>
      </c>
      <c r="R6" s="194">
        <f t="shared" si="1"/>
        <v>1</v>
      </c>
      <c r="S6" s="195" t="str">
        <f t="shared" si="3"/>
        <v/>
      </c>
      <c r="T6" s="196" t="str">
        <f t="shared" si="4"/>
        <v/>
      </c>
      <c r="U6" s="197" t="str">
        <f t="shared" si="5"/>
        <v/>
      </c>
      <c r="V6" s="198" t="str">
        <f t="shared" si="2"/>
        <v/>
      </c>
      <c r="W6" s="339" t="str">
        <f t="shared" si="6"/>
        <v/>
      </c>
      <c r="X6" s="341" t="str">
        <f t="shared" si="7"/>
        <v/>
      </c>
      <c r="Y6" s="277"/>
      <c r="AA6" s="293" t="s">
        <v>8</v>
      </c>
      <c r="AB6" s="326">
        <f>COUNTIF($G$4:$G$1048576,$AA6)</f>
        <v>2</v>
      </c>
      <c r="AC6" s="327">
        <f>COUNTIF($T$4:$T$1048576,$AA6)</f>
        <v>0</v>
      </c>
      <c r="AD6" s="328">
        <f>COUNTIF($V$4:$V$1048576,$AA6)</f>
        <v>0</v>
      </c>
      <c r="AE6" s="329">
        <f>COUNTIF($X$4:$X$1048576,$AA6)</f>
        <v>0</v>
      </c>
      <c r="AF6" s="330">
        <f t="shared" si="8"/>
        <v>0</v>
      </c>
      <c r="AR6">
        <f t="shared" si="9"/>
        <v>3</v>
      </c>
      <c r="AS6" t="str">
        <f t="shared" si="10"/>
        <v/>
      </c>
    </row>
    <row r="7" spans="1:45">
      <c r="A7" s="294">
        <v>106915544</v>
      </c>
      <c r="B7" s="295">
        <v>44660</v>
      </c>
      <c r="C7" s="296">
        <v>28</v>
      </c>
      <c r="D7" s="296">
        <v>1</v>
      </c>
      <c r="E7" s="296">
        <v>7</v>
      </c>
      <c r="F7" s="296">
        <v>1</v>
      </c>
      <c r="G7" s="297" t="s">
        <v>7</v>
      </c>
      <c r="H7" s="299" t="s">
        <v>1226</v>
      </c>
      <c r="I7" s="298" t="s">
        <v>1253</v>
      </c>
      <c r="J7" s="298" t="s">
        <v>1244</v>
      </c>
      <c r="K7" s="299" t="s">
        <v>723</v>
      </c>
      <c r="L7" s="592"/>
      <c r="M7" s="593"/>
      <c r="N7" s="301"/>
      <c r="P7" s="193">
        <f>IF(R7 = "", "", COUNT(R$4:$R7))</f>
        <v>4</v>
      </c>
      <c r="Q7" s="193">
        <f t="shared" si="0"/>
        <v>2022</v>
      </c>
      <c r="R7" s="194">
        <f t="shared" si="1"/>
        <v>1</v>
      </c>
      <c r="S7" s="195" t="str">
        <f>IF(L7&lt;&gt;"",R7,"")</f>
        <v/>
      </c>
      <c r="T7" s="196" t="str">
        <f t="shared" si="4"/>
        <v/>
      </c>
      <c r="U7" s="197" t="str">
        <f t="shared" si="5"/>
        <v/>
      </c>
      <c r="V7" s="198" t="str">
        <f t="shared" si="2"/>
        <v/>
      </c>
      <c r="W7" s="339" t="str">
        <f t="shared" si="6"/>
        <v/>
      </c>
      <c r="X7" s="341" t="str">
        <f t="shared" si="7"/>
        <v/>
      </c>
      <c r="Y7" s="277"/>
      <c r="AA7" s="293" t="s">
        <v>3</v>
      </c>
      <c r="AB7" s="326">
        <f>COUNTIF($G$4:$G$1048576,$AA7)</f>
        <v>7</v>
      </c>
      <c r="AC7" s="327">
        <f>COUNTIF($T$4:$T$1048576,$AA7)</f>
        <v>3</v>
      </c>
      <c r="AD7" s="328">
        <f>COUNTIF($V$4:$V$1048576,$AA7)</f>
        <v>0</v>
      </c>
      <c r="AE7" s="329">
        <f>COUNTIF($X$4:$X$1048576,$AA7)</f>
        <v>0</v>
      </c>
      <c r="AF7" s="330">
        <f t="shared" si="8"/>
        <v>3</v>
      </c>
      <c r="AR7">
        <f t="shared" si="9"/>
        <v>4</v>
      </c>
      <c r="AS7" t="str">
        <f t="shared" si="10"/>
        <v/>
      </c>
    </row>
    <row r="8" spans="1:45">
      <c r="A8" s="294">
        <v>107000890</v>
      </c>
      <c r="B8" s="295">
        <v>44740</v>
      </c>
      <c r="C8" s="296">
        <v>30</v>
      </c>
      <c r="D8" s="296">
        <v>1</v>
      </c>
      <c r="E8" s="296">
        <v>7</v>
      </c>
      <c r="F8" s="296">
        <v>1</v>
      </c>
      <c r="G8" s="297" t="s">
        <v>3</v>
      </c>
      <c r="H8" s="288" t="s">
        <v>1326</v>
      </c>
      <c r="I8" s="298"/>
      <c r="J8" s="298"/>
      <c r="K8" s="299" t="s">
        <v>724</v>
      </c>
      <c r="L8" s="592"/>
      <c r="M8" s="593"/>
      <c r="N8" s="301"/>
      <c r="P8" s="193">
        <f>IF(R8 = "", "", COUNT(R$4:$R8))</f>
        <v>5</v>
      </c>
      <c r="Q8" s="193">
        <f t="shared" si="0"/>
        <v>2022</v>
      </c>
      <c r="R8" s="194">
        <f t="shared" si="1"/>
        <v>8.4</v>
      </c>
      <c r="S8" s="195" t="str">
        <f t="shared" si="3"/>
        <v/>
      </c>
      <c r="T8" s="196" t="str">
        <f t="shared" si="4"/>
        <v/>
      </c>
      <c r="U8" s="197" t="str">
        <f t="shared" si="5"/>
        <v/>
      </c>
      <c r="V8" s="198" t="str">
        <f t="shared" si="2"/>
        <v/>
      </c>
      <c r="W8" s="339" t="str">
        <f t="shared" si="6"/>
        <v/>
      </c>
      <c r="X8" s="341" t="str">
        <f t="shared" si="7"/>
        <v/>
      </c>
      <c r="Y8" s="277"/>
      <c r="AA8" s="293" t="s">
        <v>7</v>
      </c>
      <c r="AB8" s="326">
        <f>COUNTIF($G$4:$G$1048576,$AA8)+COUNTIFS($G$4:$G$1048576, "", $P$4:$P$1048576, "&gt;0")</f>
        <v>26</v>
      </c>
      <c r="AC8" s="327">
        <f>COUNTIF($T$4:$T$1048576,$AA8)</f>
        <v>2</v>
      </c>
      <c r="AD8" s="328">
        <f>COUNTIF($V$4:$V$1048576,$AA8)</f>
        <v>0</v>
      </c>
      <c r="AE8" s="329">
        <f>COUNTIF($X$4:$X$1048576,$AA8)</f>
        <v>0</v>
      </c>
      <c r="AF8" s="330">
        <f t="shared" si="8"/>
        <v>2</v>
      </c>
      <c r="AR8">
        <f t="shared" si="9"/>
        <v>5</v>
      </c>
      <c r="AS8" t="str">
        <f t="shared" si="10"/>
        <v/>
      </c>
    </row>
    <row r="9" spans="1:45">
      <c r="A9" s="294">
        <v>107004020</v>
      </c>
      <c r="B9" s="295">
        <v>44742</v>
      </c>
      <c r="C9" s="296">
        <v>21</v>
      </c>
      <c r="D9" s="296">
        <v>1</v>
      </c>
      <c r="E9" s="296">
        <v>0</v>
      </c>
      <c r="F9" s="296">
        <v>1</v>
      </c>
      <c r="G9" s="297" t="s">
        <v>7</v>
      </c>
      <c r="H9" s="288" t="s">
        <v>1219</v>
      </c>
      <c r="I9" s="298" t="s">
        <v>1241</v>
      </c>
      <c r="J9" s="298" t="s">
        <v>1241</v>
      </c>
      <c r="K9" s="299" t="s">
        <v>724</v>
      </c>
      <c r="L9" s="592"/>
      <c r="M9" s="593"/>
      <c r="N9" s="301"/>
      <c r="P9" s="193">
        <f>IF(R9 = "", "", COUNT(R$4:$R9))</f>
        <v>6</v>
      </c>
      <c r="Q9" s="193">
        <f t="shared" si="0"/>
        <v>2022</v>
      </c>
      <c r="R9" s="194">
        <f t="shared" si="1"/>
        <v>1</v>
      </c>
      <c r="S9" s="195" t="str">
        <f t="shared" si="3"/>
        <v/>
      </c>
      <c r="T9" s="196" t="str">
        <f t="shared" si="4"/>
        <v/>
      </c>
      <c r="U9" s="197" t="str">
        <f t="shared" si="5"/>
        <v/>
      </c>
      <c r="V9" s="198" t="str">
        <f t="shared" si="2"/>
        <v/>
      </c>
      <c r="W9" s="339" t="str">
        <f t="shared" si="6"/>
        <v/>
      </c>
      <c r="X9" s="341" t="str">
        <f t="shared" si="7"/>
        <v/>
      </c>
      <c r="Y9" s="277"/>
      <c r="AA9" s="293" t="s">
        <v>13</v>
      </c>
      <c r="AB9" s="326">
        <f>COUNTIF(P4:P1048576, "&gt;0")</f>
        <v>35</v>
      </c>
      <c r="AC9" s="327">
        <f>COUNT(S4:S1048576)</f>
        <v>5</v>
      </c>
      <c r="AD9" s="328">
        <f>COUNT(U4:U1048576)</f>
        <v>0</v>
      </c>
      <c r="AE9" s="329">
        <f>COUNT(W4:W1048576)</f>
        <v>0</v>
      </c>
      <c r="AF9" s="330">
        <f>SUM(AF4:AF8)</f>
        <v>5</v>
      </c>
      <c r="AR9">
        <f t="shared" si="9"/>
        <v>6</v>
      </c>
      <c r="AS9" t="str">
        <f t="shared" si="10"/>
        <v/>
      </c>
    </row>
    <row r="10" spans="1:45">
      <c r="A10" s="294">
        <v>107007989</v>
      </c>
      <c r="B10" s="295">
        <v>44748</v>
      </c>
      <c r="C10" s="296">
        <v>30</v>
      </c>
      <c r="D10" s="296">
        <v>1</v>
      </c>
      <c r="E10" s="296">
        <v>7</v>
      </c>
      <c r="F10" s="296">
        <v>1</v>
      </c>
      <c r="G10" s="297" t="s">
        <v>7</v>
      </c>
      <c r="H10" s="288" t="s">
        <v>1242</v>
      </c>
      <c r="I10" s="298" t="s">
        <v>1263</v>
      </c>
      <c r="J10" s="298" t="s">
        <v>1238</v>
      </c>
      <c r="K10" s="299" t="s">
        <v>722</v>
      </c>
      <c r="L10" s="592"/>
      <c r="M10" s="593"/>
      <c r="N10" s="301"/>
      <c r="P10" s="193">
        <f>IF(R10 = "", "", COUNT(R$4:$R10))</f>
        <v>7</v>
      </c>
      <c r="Q10" s="193">
        <f t="shared" si="0"/>
        <v>2022</v>
      </c>
      <c r="R10" s="194">
        <f t="shared" si="1"/>
        <v>1</v>
      </c>
      <c r="S10" s="195" t="str">
        <f t="shared" si="3"/>
        <v/>
      </c>
      <c r="T10" s="196" t="str">
        <f t="shared" si="4"/>
        <v/>
      </c>
      <c r="U10" s="197" t="str">
        <f t="shared" si="5"/>
        <v/>
      </c>
      <c r="V10" s="198" t="str">
        <f t="shared" si="2"/>
        <v/>
      </c>
      <c r="W10" s="339" t="str">
        <f t="shared" si="6"/>
        <v/>
      </c>
      <c r="X10" s="341" t="str">
        <f t="shared" si="7"/>
        <v/>
      </c>
      <c r="Y10" s="277"/>
      <c r="AA10" s="293" t="s">
        <v>14</v>
      </c>
      <c r="AB10" s="331">
        <f>IFERROR(AVERAGE(R4:R1048576), 0)</f>
        <v>2.90285714285714</v>
      </c>
      <c r="AC10" s="332">
        <f>IFERROR(AVERAGE(S4:S1048576),0)</f>
        <v>5.44</v>
      </c>
      <c r="AD10" s="333">
        <f>IFERROR(AVERAGE(U4:U1048576),0)</f>
        <v>0</v>
      </c>
      <c r="AE10" s="334">
        <f>IFERROR(AVERAGE(W4:W1048576),0)</f>
        <v>0</v>
      </c>
      <c r="AF10" s="335">
        <f>IFERROR(AVERAGEIF($AS$4:$AS$1048576,"Y", R4:R1048576 ),0)</f>
        <v>5.44</v>
      </c>
      <c r="AR10">
        <f t="shared" si="9"/>
        <v>7</v>
      </c>
      <c r="AS10" t="str">
        <f t="shared" si="10"/>
        <v/>
      </c>
    </row>
    <row r="11" spans="1:45">
      <c r="A11" s="294">
        <v>107051745</v>
      </c>
      <c r="B11" s="295">
        <v>44793</v>
      </c>
      <c r="C11" s="296">
        <v>23</v>
      </c>
      <c r="D11" s="296">
        <v>1</v>
      </c>
      <c r="E11" s="296">
        <v>7</v>
      </c>
      <c r="F11" s="296">
        <v>1</v>
      </c>
      <c r="G11" s="297" t="s">
        <v>3</v>
      </c>
      <c r="H11" s="288" t="s">
        <v>1248</v>
      </c>
      <c r="I11" s="298" t="s">
        <v>780</v>
      </c>
      <c r="J11" s="298" t="s">
        <v>1238</v>
      </c>
      <c r="K11" s="299" t="s">
        <v>724</v>
      </c>
      <c r="L11" s="592" t="s">
        <v>61</v>
      </c>
      <c r="M11" s="593"/>
      <c r="N11" s="301"/>
      <c r="P11" s="193">
        <f>IF(R11 = "", "", COUNT(R$4:$R11))</f>
        <v>8</v>
      </c>
      <c r="Q11" s="193">
        <f t="shared" si="0"/>
        <v>2022</v>
      </c>
      <c r="R11" s="194">
        <f t="shared" si="1"/>
        <v>8.4</v>
      </c>
      <c r="S11" s="195">
        <f t="shared" si="3"/>
        <v>8.4</v>
      </c>
      <c r="T11" s="196" t="str">
        <f t="shared" si="4"/>
        <v>C</v>
      </c>
      <c r="U11" s="197" t="str">
        <f t="shared" si="5"/>
        <v/>
      </c>
      <c r="V11" s="198" t="str">
        <f t="shared" si="2"/>
        <v/>
      </c>
      <c r="W11" s="339" t="str">
        <f t="shared" si="6"/>
        <v/>
      </c>
      <c r="X11" s="341" t="str">
        <f t="shared" si="7"/>
        <v/>
      </c>
      <c r="Y11" s="277"/>
      <c r="AR11">
        <f t="shared" si="9"/>
        <v>8</v>
      </c>
      <c r="AS11" t="str">
        <f t="shared" si="10"/>
        <v>Y</v>
      </c>
    </row>
    <row r="12" spans="1:45">
      <c r="A12" s="294">
        <v>107220961</v>
      </c>
      <c r="B12" s="295">
        <v>44848</v>
      </c>
      <c r="C12" s="296">
        <v>30</v>
      </c>
      <c r="D12" s="296">
        <v>1</v>
      </c>
      <c r="E12" s="296">
        <v>8</v>
      </c>
      <c r="F12" s="296">
        <v>1</v>
      </c>
      <c r="G12" s="297" t="s">
        <v>7</v>
      </c>
      <c r="H12" s="288" t="s">
        <v>1262</v>
      </c>
      <c r="I12" s="298" t="s">
        <v>780</v>
      </c>
      <c r="J12" s="298" t="s">
        <v>771</v>
      </c>
      <c r="K12" s="299" t="s">
        <v>724</v>
      </c>
      <c r="L12" s="592"/>
      <c r="M12" s="593"/>
      <c r="N12" s="301"/>
      <c r="P12" s="193">
        <f>IF(R12 = "", "", COUNT(R$4:$R12))</f>
        <v>9</v>
      </c>
      <c r="Q12" s="193">
        <f t="shared" si="0"/>
        <v>2022</v>
      </c>
      <c r="R12" s="194">
        <f t="shared" si="1"/>
        <v>1</v>
      </c>
      <c r="S12" s="195" t="str">
        <f t="shared" si="3"/>
        <v/>
      </c>
      <c r="T12" s="196" t="str">
        <f t="shared" si="4"/>
        <v/>
      </c>
      <c r="U12" s="197" t="str">
        <f t="shared" si="5"/>
        <v/>
      </c>
      <c r="V12" s="198" t="str">
        <f t="shared" si="2"/>
        <v/>
      </c>
      <c r="W12" s="339" t="str">
        <f t="shared" si="6"/>
        <v/>
      </c>
      <c r="X12" s="341" t="str">
        <f t="shared" si="7"/>
        <v/>
      </c>
      <c r="Y12" s="277"/>
      <c r="AR12">
        <f t="shared" si="9"/>
        <v>9</v>
      </c>
      <c r="AS12" t="str">
        <f t="shared" si="10"/>
        <v/>
      </c>
    </row>
    <row r="13" spans="1:45" ht="14.7" thickBot="1">
      <c r="A13" s="294">
        <v>107203016</v>
      </c>
      <c r="B13" s="295">
        <v>44931</v>
      </c>
      <c r="C13" s="296">
        <v>30</v>
      </c>
      <c r="D13" s="296">
        <v>1</v>
      </c>
      <c r="E13" s="296">
        <v>7</v>
      </c>
      <c r="F13" s="296">
        <v>4</v>
      </c>
      <c r="G13" s="297" t="s">
        <v>3</v>
      </c>
      <c r="H13" s="288" t="s">
        <v>1264</v>
      </c>
      <c r="I13" s="298" t="s">
        <v>1240</v>
      </c>
      <c r="J13" s="298" t="s">
        <v>1238</v>
      </c>
      <c r="K13" s="299" t="s">
        <v>723</v>
      </c>
      <c r="L13" s="592" t="s">
        <v>61</v>
      </c>
      <c r="M13" s="593"/>
      <c r="N13" s="301"/>
      <c r="P13" s="193">
        <f>IF(R13 = "", "", COUNT(R$4:$R13))</f>
        <v>10</v>
      </c>
      <c r="Q13" s="193">
        <f t="shared" si="0"/>
        <v>2023</v>
      </c>
      <c r="R13" s="194">
        <f t="shared" si="1"/>
        <v>8.4</v>
      </c>
      <c r="S13" s="195">
        <f t="shared" si="3"/>
        <v>8.4</v>
      </c>
      <c r="T13" s="196" t="str">
        <f t="shared" si="4"/>
        <v>C</v>
      </c>
      <c r="U13" s="197" t="str">
        <f t="shared" si="5"/>
        <v/>
      </c>
      <c r="V13" s="198" t="str">
        <f t="shared" si="2"/>
        <v/>
      </c>
      <c r="W13" s="339" t="str">
        <f t="shared" si="6"/>
        <v/>
      </c>
      <c r="X13" s="341" t="str">
        <f t="shared" si="7"/>
        <v/>
      </c>
      <c r="Y13" s="277"/>
      <c r="AR13">
        <f t="shared" si="9"/>
        <v>10</v>
      </c>
      <c r="AS13" t="str">
        <f t="shared" si="10"/>
        <v>Y</v>
      </c>
    </row>
    <row r="14" spans="1:45" ht="14.7" thickBot="1">
      <c r="A14" s="294">
        <v>107249218</v>
      </c>
      <c r="B14" s="295">
        <v>44977</v>
      </c>
      <c r="C14" s="296">
        <v>21</v>
      </c>
      <c r="D14" s="296">
        <v>1</v>
      </c>
      <c r="E14" s="296">
        <v>7</v>
      </c>
      <c r="F14" s="296">
        <v>1</v>
      </c>
      <c r="G14" s="297" t="s">
        <v>7</v>
      </c>
      <c r="H14" s="299" t="s">
        <v>1219</v>
      </c>
      <c r="I14" s="298"/>
      <c r="J14" s="298"/>
      <c r="K14" s="299" t="s">
        <v>724</v>
      </c>
      <c r="L14" s="592"/>
      <c r="M14" s="593"/>
      <c r="N14" s="301"/>
      <c r="P14" s="193">
        <f>IF(R14 = "", "", COUNT(R$4:$R14))</f>
        <v>11</v>
      </c>
      <c r="Q14" s="193">
        <f t="shared" si="0"/>
        <v>2023</v>
      </c>
      <c r="R14" s="194">
        <f t="shared" si="1"/>
        <v>1</v>
      </c>
      <c r="S14" s="195" t="str">
        <f t="shared" si="3"/>
        <v/>
      </c>
      <c r="T14" s="196" t="str">
        <f t="shared" si="4"/>
        <v/>
      </c>
      <c r="U14" s="197" t="str">
        <f t="shared" si="5"/>
        <v/>
      </c>
      <c r="V14" s="198" t="str">
        <f t="shared" si="2"/>
        <v/>
      </c>
      <c r="W14" s="339" t="str">
        <f t="shared" si="6"/>
        <v/>
      </c>
      <c r="X14" s="341" t="str">
        <f t="shared" si="7"/>
        <v/>
      </c>
      <c r="Y14" s="277"/>
      <c r="Z14" s="757" t="s">
        <v>40</v>
      </c>
      <c r="AA14" s="758"/>
      <c r="AB14" s="758"/>
      <c r="AC14" s="758"/>
      <c r="AD14" s="758"/>
      <c r="AE14" s="758"/>
      <c r="AF14" s="758"/>
      <c r="AG14" s="759"/>
      <c r="AR14">
        <f t="shared" si="9"/>
        <v>11</v>
      </c>
      <c r="AS14" t="str">
        <f t="shared" si="10"/>
        <v/>
      </c>
    </row>
    <row r="15" spans="1:45" ht="15" customHeight="1">
      <c r="A15" s="294">
        <v>107272557</v>
      </c>
      <c r="B15" s="295">
        <v>44999</v>
      </c>
      <c r="C15" s="296">
        <v>30</v>
      </c>
      <c r="D15" s="296">
        <v>1</v>
      </c>
      <c r="E15" s="296">
        <v>7</v>
      </c>
      <c r="F15" s="296">
        <v>1</v>
      </c>
      <c r="G15" s="297" t="s">
        <v>3</v>
      </c>
      <c r="H15" s="299" t="s">
        <v>1250</v>
      </c>
      <c r="I15" s="298" t="s">
        <v>774</v>
      </c>
      <c r="J15" s="298" t="s">
        <v>781</v>
      </c>
      <c r="K15" s="299" t="s">
        <v>723</v>
      </c>
      <c r="L15" s="592"/>
      <c r="M15" s="593"/>
      <c r="N15" s="301"/>
      <c r="P15" s="193">
        <f>IF(R15 = "", "", COUNT(R$4:$R15))</f>
        <v>12</v>
      </c>
      <c r="Q15" s="193">
        <f t="shared" si="0"/>
        <v>2023</v>
      </c>
      <c r="R15" s="194">
        <f t="shared" si="1"/>
        <v>8.4</v>
      </c>
      <c r="S15" s="195" t="str">
        <f t="shared" si="3"/>
        <v/>
      </c>
      <c r="T15" s="196" t="str">
        <f t="shared" si="4"/>
        <v/>
      </c>
      <c r="U15" s="197" t="str">
        <f t="shared" si="5"/>
        <v/>
      </c>
      <c r="V15" s="198" t="str">
        <f t="shared" si="2"/>
        <v/>
      </c>
      <c r="W15" s="339" t="str">
        <f t="shared" si="6"/>
        <v/>
      </c>
      <c r="X15" s="341" t="str">
        <f t="shared" si="7"/>
        <v/>
      </c>
      <c r="Y15" s="277"/>
      <c r="Z15" s="765">
        <v>1</v>
      </c>
      <c r="AA15" s="760" t="s">
        <v>728</v>
      </c>
      <c r="AB15" s="761"/>
      <c r="AC15" s="761"/>
      <c r="AD15" s="761"/>
      <c r="AE15" s="761"/>
      <c r="AF15" s="761"/>
      <c r="AG15" s="762"/>
      <c r="AR15">
        <f t="shared" si="9"/>
        <v>12</v>
      </c>
      <c r="AS15" t="str">
        <f t="shared" si="10"/>
        <v/>
      </c>
    </row>
    <row r="16" spans="1:45" ht="15" customHeight="1">
      <c r="A16" s="294">
        <v>107416680</v>
      </c>
      <c r="B16" s="295">
        <v>45141</v>
      </c>
      <c r="C16" s="296">
        <v>25</v>
      </c>
      <c r="D16" s="296">
        <v>1</v>
      </c>
      <c r="E16" s="296">
        <v>7</v>
      </c>
      <c r="F16" s="296">
        <v>1</v>
      </c>
      <c r="G16" s="297" t="s">
        <v>8</v>
      </c>
      <c r="H16" s="299" t="s">
        <v>1260</v>
      </c>
      <c r="I16" s="298" t="s">
        <v>1257</v>
      </c>
      <c r="J16" s="298" t="s">
        <v>1238</v>
      </c>
      <c r="K16" s="299" t="s">
        <v>721</v>
      </c>
      <c r="L16" s="592"/>
      <c r="M16" s="593"/>
      <c r="N16" s="301"/>
      <c r="P16" s="193">
        <f>IF(R16 = "", "", COUNT(R$4:$R16))</f>
        <v>13</v>
      </c>
      <c r="Q16" s="193">
        <f t="shared" si="0"/>
        <v>2023</v>
      </c>
      <c r="R16" s="194">
        <f t="shared" si="1"/>
        <v>8.4</v>
      </c>
      <c r="S16" s="195" t="str">
        <f t="shared" si="3"/>
        <v/>
      </c>
      <c r="T16" s="196" t="str">
        <f t="shared" si="4"/>
        <v/>
      </c>
      <c r="U16" s="197" t="str">
        <f t="shared" si="5"/>
        <v/>
      </c>
      <c r="V16" s="198" t="str">
        <f t="shared" si="2"/>
        <v/>
      </c>
      <c r="W16" s="339" t="str">
        <f t="shared" si="6"/>
        <v/>
      </c>
      <c r="X16" s="341" t="str">
        <f t="shared" si="7"/>
        <v/>
      </c>
      <c r="Y16" s="277"/>
      <c r="Z16" s="766"/>
      <c r="AA16" s="763"/>
      <c r="AB16" s="727"/>
      <c r="AC16" s="727"/>
      <c r="AD16" s="727"/>
      <c r="AE16" s="727"/>
      <c r="AF16" s="727"/>
      <c r="AG16" s="764"/>
      <c r="AR16">
        <f t="shared" si="9"/>
        <v>13</v>
      </c>
      <c r="AS16" t="str">
        <f t="shared" si="10"/>
        <v/>
      </c>
    </row>
    <row r="17" spans="1:45">
      <c r="A17" s="294">
        <v>107447464</v>
      </c>
      <c r="B17" s="295">
        <v>45174</v>
      </c>
      <c r="C17" s="296">
        <v>21</v>
      </c>
      <c r="D17" s="296">
        <v>1</v>
      </c>
      <c r="E17" s="296">
        <v>7</v>
      </c>
      <c r="F17" s="296">
        <v>1</v>
      </c>
      <c r="G17" s="297" t="s">
        <v>7</v>
      </c>
      <c r="H17" s="299" t="s">
        <v>1219</v>
      </c>
      <c r="I17" s="298" t="s">
        <v>1238</v>
      </c>
      <c r="J17" s="298" t="s">
        <v>1241</v>
      </c>
      <c r="K17" s="299" t="s">
        <v>724</v>
      </c>
      <c r="L17" s="592"/>
      <c r="M17" s="593"/>
      <c r="N17" s="301"/>
      <c r="P17" s="193">
        <f>IF(R17 = "", "", COUNT(R$4:$R17))</f>
        <v>14</v>
      </c>
      <c r="Q17" s="193">
        <f t="shared" si="0"/>
        <v>2023</v>
      </c>
      <c r="R17" s="194">
        <f t="shared" si="1"/>
        <v>1</v>
      </c>
      <c r="S17" s="195" t="str">
        <f t="shared" si="3"/>
        <v/>
      </c>
      <c r="T17" s="196" t="str">
        <f t="shared" si="4"/>
        <v/>
      </c>
      <c r="U17" s="197" t="str">
        <f t="shared" si="5"/>
        <v/>
      </c>
      <c r="V17" s="198" t="str">
        <f t="shared" si="2"/>
        <v/>
      </c>
      <c r="W17" s="339" t="str">
        <f t="shared" si="6"/>
        <v/>
      </c>
      <c r="X17" s="341" t="str">
        <f t="shared" si="7"/>
        <v/>
      </c>
      <c r="Y17" s="277"/>
      <c r="Z17" s="766"/>
      <c r="AA17" s="763"/>
      <c r="AB17" s="727"/>
      <c r="AC17" s="727"/>
      <c r="AD17" s="727"/>
      <c r="AE17" s="727"/>
      <c r="AF17" s="727"/>
      <c r="AG17" s="764"/>
      <c r="AR17">
        <f t="shared" si="9"/>
        <v>14</v>
      </c>
      <c r="AS17" t="str">
        <f t="shared" si="10"/>
        <v/>
      </c>
    </row>
    <row r="18" spans="1:45" ht="15" customHeight="1">
      <c r="A18" s="294">
        <v>107468744</v>
      </c>
      <c r="B18" s="295">
        <v>45194</v>
      </c>
      <c r="C18" s="296">
        <v>21</v>
      </c>
      <c r="D18" s="296">
        <v>1</v>
      </c>
      <c r="E18" s="296">
        <v>7</v>
      </c>
      <c r="F18" s="296">
        <v>1</v>
      </c>
      <c r="G18" s="297" t="s">
        <v>7</v>
      </c>
      <c r="H18" s="299" t="s">
        <v>1219</v>
      </c>
      <c r="I18" s="298" t="s">
        <v>1241</v>
      </c>
      <c r="J18" s="298" t="s">
        <v>1238</v>
      </c>
      <c r="K18" s="299" t="s">
        <v>724</v>
      </c>
      <c r="L18" s="592"/>
      <c r="M18" s="593"/>
      <c r="N18" s="301"/>
      <c r="P18" s="193">
        <f>IF(R18 = "", "", COUNT(R$4:$R18))</f>
        <v>15</v>
      </c>
      <c r="Q18" s="193">
        <f t="shared" si="0"/>
        <v>2023</v>
      </c>
      <c r="R18" s="194">
        <f t="shared" si="1"/>
        <v>1</v>
      </c>
      <c r="S18" s="195" t="str">
        <f t="shared" si="3"/>
        <v/>
      </c>
      <c r="T18" s="196" t="str">
        <f t="shared" si="4"/>
        <v/>
      </c>
      <c r="U18" s="197" t="str">
        <f t="shared" si="5"/>
        <v/>
      </c>
      <c r="V18" s="198" t="str">
        <f t="shared" si="2"/>
        <v/>
      </c>
      <c r="W18" s="339" t="str">
        <f t="shared" si="6"/>
        <v/>
      </c>
      <c r="X18" s="341" t="str">
        <f t="shared" si="7"/>
        <v/>
      </c>
      <c r="Y18" s="277"/>
      <c r="Z18" s="766"/>
      <c r="AA18" s="763"/>
      <c r="AB18" s="727"/>
      <c r="AC18" s="727"/>
      <c r="AD18" s="727"/>
      <c r="AE18" s="727"/>
      <c r="AF18" s="727"/>
      <c r="AG18" s="764"/>
      <c r="AR18">
        <f t="shared" si="9"/>
        <v>15</v>
      </c>
      <c r="AS18" t="str">
        <f t="shared" si="10"/>
        <v/>
      </c>
    </row>
    <row r="19" spans="1:45">
      <c r="A19" s="294">
        <v>107529695</v>
      </c>
      <c r="B19" s="295">
        <v>45197</v>
      </c>
      <c r="C19" s="296">
        <v>21</v>
      </c>
      <c r="D19" s="296">
        <v>1</v>
      </c>
      <c r="E19" s="296">
        <v>7</v>
      </c>
      <c r="F19" s="296">
        <v>1</v>
      </c>
      <c r="G19" s="297" t="s">
        <v>7</v>
      </c>
      <c r="H19" s="299" t="s">
        <v>1291</v>
      </c>
      <c r="I19" s="298" t="s">
        <v>1263</v>
      </c>
      <c r="J19" s="298" t="s">
        <v>1263</v>
      </c>
      <c r="K19" s="299" t="s">
        <v>722</v>
      </c>
      <c r="L19" s="592"/>
      <c r="M19" s="593"/>
      <c r="N19" s="301"/>
      <c r="P19" s="193">
        <f>IF(R19 = "", "", COUNT(R$4:$R19))</f>
        <v>16</v>
      </c>
      <c r="Q19" s="193">
        <f t="shared" si="0"/>
        <v>2023</v>
      </c>
      <c r="R19" s="194">
        <f t="shared" si="1"/>
        <v>1</v>
      </c>
      <c r="S19" s="195" t="str">
        <f t="shared" si="3"/>
        <v/>
      </c>
      <c r="T19" s="196" t="str">
        <f t="shared" si="4"/>
        <v/>
      </c>
      <c r="U19" s="197" t="str">
        <f t="shared" si="5"/>
        <v/>
      </c>
      <c r="V19" s="198" t="str">
        <f t="shared" si="2"/>
        <v/>
      </c>
      <c r="W19" s="339" t="str">
        <f t="shared" si="6"/>
        <v/>
      </c>
      <c r="X19" s="341" t="str">
        <f t="shared" si="7"/>
        <v/>
      </c>
      <c r="Y19" s="277"/>
      <c r="Z19" s="766"/>
      <c r="AA19" s="302" t="s">
        <v>45</v>
      </c>
      <c r="AB19" s="727" t="s">
        <v>704</v>
      </c>
      <c r="AC19" s="727"/>
      <c r="AD19" s="727"/>
      <c r="AE19" s="727"/>
      <c r="AF19" s="727"/>
      <c r="AG19" s="764"/>
      <c r="AR19">
        <f t="shared" si="9"/>
        <v>16</v>
      </c>
      <c r="AS19" t="str">
        <f t="shared" si="10"/>
        <v/>
      </c>
    </row>
    <row r="20" spans="1:45" ht="14.5" customHeight="1">
      <c r="A20" s="294">
        <v>107495942</v>
      </c>
      <c r="B20" s="295">
        <v>45217</v>
      </c>
      <c r="C20" s="296">
        <v>30</v>
      </c>
      <c r="D20" s="296">
        <v>1</v>
      </c>
      <c r="E20" s="296">
        <v>7</v>
      </c>
      <c r="F20" s="296">
        <v>1</v>
      </c>
      <c r="G20" s="297" t="s">
        <v>7</v>
      </c>
      <c r="H20" s="299" t="s">
        <v>1236</v>
      </c>
      <c r="I20" s="298" t="s">
        <v>1237</v>
      </c>
      <c r="J20" s="298" t="s">
        <v>1238</v>
      </c>
      <c r="K20" s="299" t="s">
        <v>724</v>
      </c>
      <c r="L20" s="592"/>
      <c r="M20" s="593"/>
      <c r="N20" s="301"/>
      <c r="P20" s="193">
        <f>IF(R20 = "", "", COUNT(R$4:$R20))</f>
        <v>17</v>
      </c>
      <c r="Q20" s="193">
        <f t="shared" si="0"/>
        <v>2023</v>
      </c>
      <c r="R20" s="194">
        <f t="shared" si="1"/>
        <v>1</v>
      </c>
      <c r="S20" s="195" t="str">
        <f t="shared" si="3"/>
        <v/>
      </c>
      <c r="T20" s="196" t="str">
        <f t="shared" si="4"/>
        <v/>
      </c>
      <c r="U20" s="197" t="str">
        <f t="shared" si="5"/>
        <v/>
      </c>
      <c r="V20" s="198" t="str">
        <f t="shared" si="2"/>
        <v/>
      </c>
      <c r="W20" s="339" t="str">
        <f t="shared" si="6"/>
        <v/>
      </c>
      <c r="X20" s="341" t="str">
        <f t="shared" si="7"/>
        <v/>
      </c>
      <c r="Y20" s="277"/>
      <c r="Z20" s="766"/>
      <c r="AA20" s="302"/>
      <c r="AB20" s="727"/>
      <c r="AC20" s="727"/>
      <c r="AD20" s="727"/>
      <c r="AE20" s="727"/>
      <c r="AF20" s="727"/>
      <c r="AG20" s="764"/>
      <c r="AR20">
        <f t="shared" si="9"/>
        <v>17</v>
      </c>
      <c r="AS20" t="str">
        <f t="shared" si="10"/>
        <v/>
      </c>
    </row>
    <row r="21" spans="1:45" ht="15" customHeight="1">
      <c r="A21" s="294">
        <v>107526751</v>
      </c>
      <c r="B21" s="295">
        <v>45244</v>
      </c>
      <c r="C21" s="296">
        <v>23</v>
      </c>
      <c r="D21" s="296">
        <v>1</v>
      </c>
      <c r="E21" s="296">
        <v>0</v>
      </c>
      <c r="F21" s="296">
        <v>1</v>
      </c>
      <c r="G21" s="297" t="s">
        <v>3</v>
      </c>
      <c r="H21" s="299" t="s">
        <v>1258</v>
      </c>
      <c r="I21" s="298" t="s">
        <v>772</v>
      </c>
      <c r="J21" s="298" t="s">
        <v>774</v>
      </c>
      <c r="K21" s="299" t="s">
        <v>722</v>
      </c>
      <c r="L21" s="592" t="s">
        <v>61</v>
      </c>
      <c r="M21" s="593"/>
      <c r="N21" s="301"/>
      <c r="P21" s="193">
        <f>IF(R21 = "", "", COUNT(R$4:$R21))</f>
        <v>18</v>
      </c>
      <c r="Q21" s="193">
        <f t="shared" si="0"/>
        <v>2023</v>
      </c>
      <c r="R21" s="194">
        <f t="shared" si="1"/>
        <v>8.4</v>
      </c>
      <c r="S21" s="195">
        <f t="shared" si="3"/>
        <v>8.4</v>
      </c>
      <c r="T21" s="196" t="str">
        <f t="shared" si="4"/>
        <v>C</v>
      </c>
      <c r="U21" s="197" t="str">
        <f t="shared" si="5"/>
        <v/>
      </c>
      <c r="V21" s="198" t="str">
        <f t="shared" si="2"/>
        <v/>
      </c>
      <c r="W21" s="339" t="str">
        <f t="shared" si="6"/>
        <v/>
      </c>
      <c r="X21" s="341" t="str">
        <f t="shared" si="7"/>
        <v/>
      </c>
      <c r="Y21" s="277"/>
      <c r="Z21" s="766"/>
      <c r="AA21" s="305"/>
      <c r="AB21" s="727"/>
      <c r="AC21" s="727"/>
      <c r="AD21" s="727"/>
      <c r="AE21" s="727"/>
      <c r="AF21" s="727"/>
      <c r="AG21" s="764"/>
      <c r="AR21">
        <f t="shared" si="9"/>
        <v>18</v>
      </c>
      <c r="AS21" t="str">
        <f t="shared" si="10"/>
        <v>Y</v>
      </c>
    </row>
    <row r="22" spans="1:45">
      <c r="A22" s="294">
        <v>107535374</v>
      </c>
      <c r="B22" s="295">
        <v>45251</v>
      </c>
      <c r="C22" s="296">
        <v>24</v>
      </c>
      <c r="D22" s="296">
        <v>2</v>
      </c>
      <c r="E22" s="296">
        <v>7</v>
      </c>
      <c r="F22" s="296">
        <v>1</v>
      </c>
      <c r="G22" s="297" t="s">
        <v>7</v>
      </c>
      <c r="H22" s="299" t="s">
        <v>1216</v>
      </c>
      <c r="I22" s="298" t="s">
        <v>772</v>
      </c>
      <c r="J22" s="298" t="s">
        <v>774</v>
      </c>
      <c r="K22" s="299" t="s">
        <v>722</v>
      </c>
      <c r="L22" s="592"/>
      <c r="M22" s="593"/>
      <c r="N22" s="301"/>
      <c r="P22" s="193">
        <f>IF(R22 = "", "", COUNT(R$4:$R22))</f>
        <v>19</v>
      </c>
      <c r="Q22" s="193">
        <f t="shared" si="0"/>
        <v>2023</v>
      </c>
      <c r="R22" s="194">
        <f t="shared" si="1"/>
        <v>1</v>
      </c>
      <c r="S22" s="195" t="str">
        <f t="shared" si="3"/>
        <v/>
      </c>
      <c r="T22" s="196" t="str">
        <f t="shared" si="4"/>
        <v/>
      </c>
      <c r="U22" s="197" t="str">
        <f t="shared" si="5"/>
        <v/>
      </c>
      <c r="V22" s="198" t="str">
        <f t="shared" si="2"/>
        <v/>
      </c>
      <c r="W22" s="339" t="str">
        <f t="shared" si="6"/>
        <v/>
      </c>
      <c r="X22" s="341" t="str">
        <f t="shared" si="7"/>
        <v/>
      </c>
      <c r="Y22" s="277"/>
      <c r="Z22" s="766"/>
      <c r="AA22" s="306"/>
      <c r="AB22" s="727"/>
      <c r="AC22" s="727"/>
      <c r="AD22" s="727"/>
      <c r="AE22" s="727"/>
      <c r="AF22" s="727"/>
      <c r="AG22" s="764"/>
      <c r="AR22">
        <f t="shared" si="9"/>
        <v>19</v>
      </c>
      <c r="AS22" t="str">
        <f t="shared" si="10"/>
        <v/>
      </c>
    </row>
    <row r="23" spans="1:45" ht="15" customHeight="1">
      <c r="A23" s="294">
        <v>107555301</v>
      </c>
      <c r="B23" s="295">
        <v>45268</v>
      </c>
      <c r="C23" s="296">
        <v>24</v>
      </c>
      <c r="D23" s="296">
        <v>1</v>
      </c>
      <c r="E23" s="296">
        <v>7</v>
      </c>
      <c r="F23" s="296">
        <v>1</v>
      </c>
      <c r="G23" s="297" t="s">
        <v>7</v>
      </c>
      <c r="H23" s="299" t="s">
        <v>1213</v>
      </c>
      <c r="I23" s="298" t="s">
        <v>1238</v>
      </c>
      <c r="J23" s="298" t="s">
        <v>772</v>
      </c>
      <c r="K23" s="299" t="s">
        <v>722</v>
      </c>
      <c r="L23" s="592"/>
      <c r="M23" s="593"/>
      <c r="N23" s="301"/>
      <c r="P23" s="193">
        <f>IF(R23 = "", "", COUNT(R$4:$R23))</f>
        <v>20</v>
      </c>
      <c r="Q23" s="193">
        <f t="shared" si="0"/>
        <v>2023</v>
      </c>
      <c r="R23" s="194">
        <f t="shared" si="1"/>
        <v>1</v>
      </c>
      <c r="S23" s="195" t="str">
        <f t="shared" si="3"/>
        <v/>
      </c>
      <c r="T23" s="196" t="str">
        <f t="shared" si="4"/>
        <v/>
      </c>
      <c r="U23" s="197" t="str">
        <f t="shared" si="5"/>
        <v/>
      </c>
      <c r="V23" s="198" t="str">
        <f t="shared" si="2"/>
        <v/>
      </c>
      <c r="W23" s="339" t="str">
        <f t="shared" si="6"/>
        <v/>
      </c>
      <c r="X23" s="341" t="str">
        <f t="shared" si="7"/>
        <v/>
      </c>
      <c r="Y23" s="277"/>
      <c r="Z23" s="766"/>
      <c r="AA23" s="306"/>
      <c r="AB23" s="727"/>
      <c r="AC23" s="727"/>
      <c r="AD23" s="727"/>
      <c r="AE23" s="727"/>
      <c r="AF23" s="727"/>
      <c r="AG23" s="764"/>
      <c r="AR23">
        <f t="shared" si="9"/>
        <v>20</v>
      </c>
      <c r="AS23" t="str">
        <f t="shared" si="10"/>
        <v/>
      </c>
    </row>
    <row r="24" spans="1:45">
      <c r="A24" s="294">
        <v>107667864</v>
      </c>
      <c r="B24" s="295">
        <v>45377</v>
      </c>
      <c r="C24" s="296">
        <v>21</v>
      </c>
      <c r="D24" s="296">
        <v>1</v>
      </c>
      <c r="E24" s="296">
        <v>7</v>
      </c>
      <c r="F24" s="296">
        <v>1</v>
      </c>
      <c r="G24" s="297" t="s">
        <v>7</v>
      </c>
      <c r="H24" s="299" t="s">
        <v>1243</v>
      </c>
      <c r="I24" s="298" t="s">
        <v>774</v>
      </c>
      <c r="J24" s="298" t="s">
        <v>1244</v>
      </c>
      <c r="K24" s="299" t="s">
        <v>723</v>
      </c>
      <c r="L24" s="592"/>
      <c r="M24" s="593"/>
      <c r="N24" s="301"/>
      <c r="P24" s="193">
        <f>IF(R24 = "", "", COUNT(R$4:$R24))</f>
        <v>21</v>
      </c>
      <c r="Q24" s="193">
        <f t="shared" si="0"/>
        <v>2024</v>
      </c>
      <c r="R24" s="194">
        <f t="shared" si="1"/>
        <v>1</v>
      </c>
      <c r="S24" s="195" t="str">
        <f t="shared" si="3"/>
        <v/>
      </c>
      <c r="T24" s="196" t="str">
        <f t="shared" si="4"/>
        <v/>
      </c>
      <c r="U24" s="197" t="str">
        <f t="shared" si="5"/>
        <v/>
      </c>
      <c r="V24" s="198" t="str">
        <f t="shared" si="2"/>
        <v/>
      </c>
      <c r="W24" s="339" t="str">
        <f t="shared" si="6"/>
        <v/>
      </c>
      <c r="X24" s="341" t="str">
        <f t="shared" si="7"/>
        <v/>
      </c>
      <c r="Y24" s="277"/>
      <c r="Z24" s="766"/>
      <c r="AA24" s="302" t="s">
        <v>45</v>
      </c>
      <c r="AB24" s="727" t="s">
        <v>702</v>
      </c>
      <c r="AC24" s="727"/>
      <c r="AD24" s="727"/>
      <c r="AE24" s="727"/>
      <c r="AF24" s="727"/>
      <c r="AG24" s="764"/>
      <c r="AR24">
        <f t="shared" si="9"/>
        <v>21</v>
      </c>
      <c r="AS24" t="str">
        <f t="shared" si="10"/>
        <v/>
      </c>
    </row>
    <row r="25" spans="1:45" ht="14.5" customHeight="1">
      <c r="A25" s="294">
        <v>107713399</v>
      </c>
      <c r="B25" s="295">
        <v>45399</v>
      </c>
      <c r="C25" s="296">
        <v>21</v>
      </c>
      <c r="D25" s="296">
        <v>1</v>
      </c>
      <c r="E25" s="296">
        <v>12</v>
      </c>
      <c r="F25" s="296">
        <v>1</v>
      </c>
      <c r="G25" s="297" t="s">
        <v>7</v>
      </c>
      <c r="H25" s="299" t="s">
        <v>1243</v>
      </c>
      <c r="I25" s="298" t="s">
        <v>774</v>
      </c>
      <c r="J25" s="298" t="s">
        <v>1244</v>
      </c>
      <c r="K25" s="299" t="s">
        <v>723</v>
      </c>
      <c r="L25" s="592"/>
      <c r="M25" s="593"/>
      <c r="N25" s="301"/>
      <c r="P25" s="193">
        <f>IF(R25 = "", "", COUNT(R$4:$R25))</f>
        <v>22</v>
      </c>
      <c r="Q25" s="193">
        <f t="shared" si="0"/>
        <v>2024</v>
      </c>
      <c r="R25" s="194">
        <f t="shared" si="1"/>
        <v>1</v>
      </c>
      <c r="S25" s="195" t="str">
        <f t="shared" si="3"/>
        <v/>
      </c>
      <c r="T25" s="196" t="str">
        <f t="shared" si="4"/>
        <v/>
      </c>
      <c r="U25" s="197" t="str">
        <f t="shared" si="5"/>
        <v/>
      </c>
      <c r="V25" s="198" t="str">
        <f t="shared" si="2"/>
        <v/>
      </c>
      <c r="W25" s="339" t="str">
        <f t="shared" si="6"/>
        <v/>
      </c>
      <c r="X25" s="341" t="str">
        <f t="shared" si="7"/>
        <v/>
      </c>
      <c r="Y25" s="277"/>
      <c r="Z25" s="766"/>
      <c r="AA25" s="302"/>
      <c r="AB25" s="727"/>
      <c r="AC25" s="727"/>
      <c r="AD25" s="727"/>
      <c r="AE25" s="727"/>
      <c r="AF25" s="727"/>
      <c r="AG25" s="764"/>
      <c r="AR25">
        <f t="shared" si="9"/>
        <v>22</v>
      </c>
      <c r="AS25" t="str">
        <f t="shared" si="10"/>
        <v/>
      </c>
    </row>
    <row r="26" spans="1:45" ht="15" customHeight="1">
      <c r="A26" s="294">
        <v>107702985</v>
      </c>
      <c r="B26" s="295">
        <v>45410</v>
      </c>
      <c r="C26" s="296">
        <v>30</v>
      </c>
      <c r="D26" s="296">
        <v>1</v>
      </c>
      <c r="E26" s="296">
        <v>7</v>
      </c>
      <c r="F26" s="296">
        <v>1</v>
      </c>
      <c r="G26" s="297" t="s">
        <v>3</v>
      </c>
      <c r="H26" s="299" t="s">
        <v>1249</v>
      </c>
      <c r="I26" s="298" t="s">
        <v>772</v>
      </c>
      <c r="J26" s="298" t="s">
        <v>774</v>
      </c>
      <c r="K26" s="299" t="s">
        <v>722</v>
      </c>
      <c r="L26" s="592"/>
      <c r="M26" s="593"/>
      <c r="N26" s="301"/>
      <c r="P26" s="193">
        <f>IF(R26 = "", "", COUNT(R$4:$R26))</f>
        <v>23</v>
      </c>
      <c r="Q26" s="193">
        <f t="shared" si="0"/>
        <v>2024</v>
      </c>
      <c r="R26" s="194">
        <f t="shared" si="1"/>
        <v>8.4</v>
      </c>
      <c r="S26" s="195" t="str">
        <f t="shared" si="3"/>
        <v/>
      </c>
      <c r="T26" s="196" t="str">
        <f t="shared" si="4"/>
        <v/>
      </c>
      <c r="U26" s="197" t="str">
        <f t="shared" si="5"/>
        <v/>
      </c>
      <c r="V26" s="198" t="str">
        <f t="shared" si="2"/>
        <v/>
      </c>
      <c r="W26" s="339" t="str">
        <f t="shared" si="6"/>
        <v/>
      </c>
      <c r="X26" s="341" t="str">
        <f t="shared" si="7"/>
        <v/>
      </c>
      <c r="Y26" s="277"/>
      <c r="Z26" s="766"/>
      <c r="AA26" s="306"/>
      <c r="AB26" s="727"/>
      <c r="AC26" s="727"/>
      <c r="AD26" s="727"/>
      <c r="AE26" s="727"/>
      <c r="AF26" s="727"/>
      <c r="AG26" s="764"/>
      <c r="AR26">
        <f t="shared" si="9"/>
        <v>23</v>
      </c>
      <c r="AS26" t="str">
        <f t="shared" si="10"/>
        <v/>
      </c>
    </row>
    <row r="27" spans="1:45" ht="14.5" customHeight="1">
      <c r="A27" s="294">
        <v>107802051</v>
      </c>
      <c r="B27" s="295">
        <v>45504</v>
      </c>
      <c r="C27" s="296">
        <v>24</v>
      </c>
      <c r="D27" s="296">
        <v>1</v>
      </c>
      <c r="E27" s="296">
        <v>7</v>
      </c>
      <c r="F27" s="296">
        <v>1</v>
      </c>
      <c r="G27" s="297" t="s">
        <v>7</v>
      </c>
      <c r="H27" s="299" t="s">
        <v>1245</v>
      </c>
      <c r="I27" s="298" t="s">
        <v>774</v>
      </c>
      <c r="J27" s="298" t="s">
        <v>1240</v>
      </c>
      <c r="K27" s="299" t="s">
        <v>723</v>
      </c>
      <c r="L27" s="592"/>
      <c r="M27" s="593"/>
      <c r="N27" s="301"/>
      <c r="P27" s="193">
        <f>IF(R27 = "", "", COUNT(R$4:$R27))</f>
        <v>24</v>
      </c>
      <c r="Q27" s="193">
        <f t="shared" si="0"/>
        <v>2024</v>
      </c>
      <c r="R27" s="194">
        <f t="shared" si="1"/>
        <v>1</v>
      </c>
      <c r="S27" s="195" t="str">
        <f t="shared" si="3"/>
        <v/>
      </c>
      <c r="T27" s="196" t="str">
        <f t="shared" si="4"/>
        <v/>
      </c>
      <c r="U27" s="197" t="str">
        <f t="shared" si="5"/>
        <v/>
      </c>
      <c r="V27" s="198" t="str">
        <f t="shared" si="2"/>
        <v/>
      </c>
      <c r="W27" s="339" t="str">
        <f t="shared" si="6"/>
        <v/>
      </c>
      <c r="X27" s="341" t="str">
        <f t="shared" si="7"/>
        <v/>
      </c>
      <c r="Y27" s="277"/>
      <c r="Z27" s="766"/>
      <c r="AA27" s="307"/>
      <c r="AB27" s="727"/>
      <c r="AC27" s="727"/>
      <c r="AD27" s="727"/>
      <c r="AE27" s="727"/>
      <c r="AF27" s="727"/>
      <c r="AG27" s="764"/>
      <c r="AR27">
        <f t="shared" si="9"/>
        <v>24</v>
      </c>
      <c r="AS27" t="str">
        <f t="shared" si="10"/>
        <v/>
      </c>
    </row>
    <row r="28" spans="1:45" ht="15" customHeight="1">
      <c r="A28" s="294">
        <v>107805343</v>
      </c>
      <c r="B28" s="295">
        <v>45506</v>
      </c>
      <c r="C28" s="296">
        <v>28</v>
      </c>
      <c r="D28" s="296">
        <v>1</v>
      </c>
      <c r="E28" s="296">
        <v>0</v>
      </c>
      <c r="F28" s="296">
        <v>1</v>
      </c>
      <c r="G28" s="297" t="s">
        <v>7</v>
      </c>
      <c r="H28" s="299" t="s">
        <v>1226</v>
      </c>
      <c r="I28" s="298" t="s">
        <v>1246</v>
      </c>
      <c r="J28" s="298" t="s">
        <v>774</v>
      </c>
      <c r="K28" s="299" t="s">
        <v>723</v>
      </c>
      <c r="L28" s="592"/>
      <c r="M28" s="593"/>
      <c r="N28" s="301"/>
      <c r="P28" s="193">
        <f>IF(R28 = "", "", COUNT(R$4:$R28))</f>
        <v>25</v>
      </c>
      <c r="Q28" s="193">
        <f t="shared" si="0"/>
        <v>2024</v>
      </c>
      <c r="R28" s="194">
        <f t="shared" si="1"/>
        <v>1</v>
      </c>
      <c r="S28" s="195" t="str">
        <f t="shared" si="3"/>
        <v/>
      </c>
      <c r="T28" s="196" t="str">
        <f t="shared" si="4"/>
        <v/>
      </c>
      <c r="U28" s="197" t="str">
        <f t="shared" si="5"/>
        <v/>
      </c>
      <c r="V28" s="198" t="str">
        <f t="shared" si="2"/>
        <v/>
      </c>
      <c r="W28" s="339" t="str">
        <f t="shared" si="6"/>
        <v/>
      </c>
      <c r="X28" s="341" t="str">
        <f t="shared" si="7"/>
        <v/>
      </c>
      <c r="Y28" s="277"/>
      <c r="Z28" s="781">
        <v>2</v>
      </c>
      <c r="AA28" s="787" t="s">
        <v>131</v>
      </c>
      <c r="AB28" s="787"/>
      <c r="AC28" s="787"/>
      <c r="AD28" s="787"/>
      <c r="AE28" s="787"/>
      <c r="AF28" s="787"/>
      <c r="AG28" s="788"/>
      <c r="AR28">
        <f t="shared" si="9"/>
        <v>25</v>
      </c>
      <c r="AS28" t="str">
        <f t="shared" si="10"/>
        <v/>
      </c>
    </row>
    <row r="29" spans="1:45">
      <c r="A29" s="294">
        <v>107813734</v>
      </c>
      <c r="B29" s="295">
        <v>45516</v>
      </c>
      <c r="C29" s="296">
        <v>30</v>
      </c>
      <c r="D29" s="296">
        <v>1</v>
      </c>
      <c r="E29" s="296">
        <v>0</v>
      </c>
      <c r="F29" s="296">
        <v>1</v>
      </c>
      <c r="G29" s="297" t="s">
        <v>7</v>
      </c>
      <c r="H29" s="299" t="s">
        <v>1251</v>
      </c>
      <c r="I29" s="298" t="s">
        <v>1238</v>
      </c>
      <c r="J29" s="298" t="s">
        <v>781</v>
      </c>
      <c r="K29" s="299" t="s">
        <v>724</v>
      </c>
      <c r="L29" s="592"/>
      <c r="M29" s="593"/>
      <c r="N29" s="301"/>
      <c r="P29" s="193">
        <f>IF(R29 = "", "", COUNT(R$4:$R29))</f>
        <v>26</v>
      </c>
      <c r="Q29" s="193">
        <f t="shared" si="0"/>
        <v>2024</v>
      </c>
      <c r="R29" s="194">
        <f t="shared" si="1"/>
        <v>1</v>
      </c>
      <c r="S29" s="195" t="str">
        <f t="shared" si="3"/>
        <v/>
      </c>
      <c r="T29" s="196" t="str">
        <f t="shared" si="4"/>
        <v/>
      </c>
      <c r="U29" s="197" t="str">
        <f t="shared" si="5"/>
        <v/>
      </c>
      <c r="V29" s="198" t="str">
        <f t="shared" si="2"/>
        <v/>
      </c>
      <c r="W29" s="339" t="str">
        <f t="shared" si="6"/>
        <v/>
      </c>
      <c r="X29" s="341" t="str">
        <f t="shared" si="7"/>
        <v/>
      </c>
      <c r="Y29" s="277"/>
      <c r="Z29" s="794"/>
      <c r="AA29" s="218" t="s">
        <v>45</v>
      </c>
      <c r="AB29" s="114" t="s">
        <v>132</v>
      </c>
      <c r="AC29" s="114"/>
      <c r="AD29" s="114"/>
      <c r="AE29" s="114"/>
      <c r="AF29" s="114"/>
      <c r="AG29" s="115"/>
      <c r="AR29">
        <f t="shared" si="9"/>
        <v>26</v>
      </c>
      <c r="AS29" t="str">
        <f t="shared" si="10"/>
        <v/>
      </c>
    </row>
    <row r="30" spans="1:45" ht="14.5" customHeight="1">
      <c r="A30" s="294">
        <v>107822418</v>
      </c>
      <c r="B30" s="295">
        <v>45523</v>
      </c>
      <c r="C30" s="296">
        <v>21</v>
      </c>
      <c r="D30" s="296">
        <v>1</v>
      </c>
      <c r="E30" s="296">
        <v>12</v>
      </c>
      <c r="F30" s="296">
        <v>1</v>
      </c>
      <c r="G30" s="297" t="s">
        <v>7</v>
      </c>
      <c r="H30" s="299" t="s">
        <v>1291</v>
      </c>
      <c r="I30" s="298" t="s">
        <v>771</v>
      </c>
      <c r="J30" s="298" t="s">
        <v>771</v>
      </c>
      <c r="K30" s="299" t="s">
        <v>722</v>
      </c>
      <c r="L30" s="592"/>
      <c r="M30" s="593"/>
      <c r="N30" s="301"/>
      <c r="P30" s="193">
        <f>IF(R30 = "", "", COUNT(R$4:$R30))</f>
        <v>27</v>
      </c>
      <c r="Q30" s="193">
        <f t="shared" si="0"/>
        <v>2024</v>
      </c>
      <c r="R30" s="194">
        <f t="shared" si="1"/>
        <v>1</v>
      </c>
      <c r="S30" s="195" t="str">
        <f t="shared" si="3"/>
        <v/>
      </c>
      <c r="T30" s="196" t="str">
        <f t="shared" si="4"/>
        <v/>
      </c>
      <c r="U30" s="197" t="str">
        <f t="shared" si="5"/>
        <v/>
      </c>
      <c r="V30" s="198" t="str">
        <f t="shared" si="2"/>
        <v/>
      </c>
      <c r="W30" s="339" t="str">
        <f t="shared" si="6"/>
        <v/>
      </c>
      <c r="X30" s="341" t="str">
        <f t="shared" si="7"/>
        <v/>
      </c>
      <c r="Y30" s="277"/>
      <c r="Z30" s="794"/>
      <c r="AA30" s="218" t="s">
        <v>45</v>
      </c>
      <c r="AB30" s="114" t="s">
        <v>133</v>
      </c>
      <c r="AC30" s="114"/>
      <c r="AD30" s="114"/>
      <c r="AE30" s="114"/>
      <c r="AF30" s="114"/>
      <c r="AG30" s="115"/>
      <c r="AR30">
        <f t="shared" si="9"/>
        <v>27</v>
      </c>
      <c r="AS30" t="str">
        <f t="shared" si="10"/>
        <v/>
      </c>
    </row>
    <row r="31" spans="1:45" ht="15" customHeight="1">
      <c r="A31" s="294">
        <v>107845703</v>
      </c>
      <c r="B31" s="295">
        <v>45546</v>
      </c>
      <c r="C31" s="296">
        <v>30</v>
      </c>
      <c r="D31" s="296">
        <v>1</v>
      </c>
      <c r="E31" s="296">
        <v>0</v>
      </c>
      <c r="F31" s="296">
        <v>1</v>
      </c>
      <c r="G31" s="297" t="s">
        <v>7</v>
      </c>
      <c r="H31" s="299" t="s">
        <v>1316</v>
      </c>
      <c r="I31" s="298" t="s">
        <v>772</v>
      </c>
      <c r="J31" s="298" t="s">
        <v>772</v>
      </c>
      <c r="K31" s="299" t="s">
        <v>722</v>
      </c>
      <c r="L31" s="592"/>
      <c r="M31" s="593"/>
      <c r="N31" s="301"/>
      <c r="P31" s="193">
        <f>IF(R31 = "", "", COUNT(R$4:$R31))</f>
        <v>28</v>
      </c>
      <c r="Q31" s="193">
        <f t="shared" si="0"/>
        <v>2024</v>
      </c>
      <c r="R31" s="194">
        <f t="shared" si="1"/>
        <v>1</v>
      </c>
      <c r="S31" s="195" t="str">
        <f t="shared" si="3"/>
        <v/>
      </c>
      <c r="T31" s="196" t="str">
        <f t="shared" si="4"/>
        <v/>
      </c>
      <c r="U31" s="197" t="str">
        <f t="shared" si="5"/>
        <v/>
      </c>
      <c r="V31" s="198" t="str">
        <f t="shared" si="2"/>
        <v/>
      </c>
      <c r="W31" s="339" t="str">
        <f t="shared" si="6"/>
        <v/>
      </c>
      <c r="X31" s="341" t="str">
        <f t="shared" si="7"/>
        <v/>
      </c>
      <c r="Y31" s="277"/>
      <c r="Z31" s="794"/>
      <c r="AA31" s="218" t="s">
        <v>45</v>
      </c>
      <c r="AB31" s="114" t="s">
        <v>59</v>
      </c>
      <c r="AC31" s="114"/>
      <c r="AD31" s="114"/>
      <c r="AE31" s="114"/>
      <c r="AF31" s="114"/>
      <c r="AG31" s="115"/>
      <c r="AR31">
        <f t="shared" si="9"/>
        <v>28</v>
      </c>
      <c r="AS31" t="str">
        <f t="shared" si="10"/>
        <v/>
      </c>
    </row>
    <row r="32" spans="1:45">
      <c r="A32" s="294">
        <v>107986965</v>
      </c>
      <c r="B32" s="295">
        <v>45664</v>
      </c>
      <c r="C32" s="296">
        <v>21</v>
      </c>
      <c r="D32" s="296">
        <v>1</v>
      </c>
      <c r="E32" s="296">
        <v>7</v>
      </c>
      <c r="F32" s="296">
        <v>4</v>
      </c>
      <c r="G32" s="297" t="s">
        <v>7</v>
      </c>
      <c r="H32" s="299" t="s">
        <v>1291</v>
      </c>
      <c r="I32" s="298" t="s">
        <v>771</v>
      </c>
      <c r="J32" s="298" t="s">
        <v>1320</v>
      </c>
      <c r="K32" s="299" t="s">
        <v>722</v>
      </c>
      <c r="L32" s="592"/>
      <c r="M32" s="593"/>
      <c r="N32" s="301"/>
      <c r="P32" s="193">
        <f>IF(R32 = "", "", COUNT(R$4:$R32))</f>
        <v>29</v>
      </c>
      <c r="Q32" s="193">
        <f t="shared" si="0"/>
        <v>2025</v>
      </c>
      <c r="R32" s="194">
        <f t="shared" si="1"/>
        <v>1</v>
      </c>
      <c r="S32" s="195" t="str">
        <f t="shared" si="3"/>
        <v/>
      </c>
      <c r="T32" s="196" t="str">
        <f t="shared" si="4"/>
        <v/>
      </c>
      <c r="U32" s="197" t="str">
        <f t="shared" si="5"/>
        <v/>
      </c>
      <c r="V32" s="198" t="str">
        <f t="shared" si="2"/>
        <v/>
      </c>
      <c r="W32" s="339" t="str">
        <f t="shared" si="6"/>
        <v/>
      </c>
      <c r="X32" s="341" t="str">
        <f t="shared" si="7"/>
        <v/>
      </c>
      <c r="Y32" s="277"/>
      <c r="Z32" s="794"/>
      <c r="AA32" s="218" t="s">
        <v>45</v>
      </c>
      <c r="AB32" s="789" t="s">
        <v>181</v>
      </c>
      <c r="AC32" s="789"/>
      <c r="AD32" s="789"/>
      <c r="AE32" s="789"/>
      <c r="AF32" s="789"/>
      <c r="AG32" s="790"/>
      <c r="AR32">
        <f t="shared" si="9"/>
        <v>29</v>
      </c>
      <c r="AS32" t="str">
        <f t="shared" si="10"/>
        <v/>
      </c>
    </row>
    <row r="33" spans="1:45">
      <c r="A33" s="294">
        <v>108048149</v>
      </c>
      <c r="B33" s="295">
        <v>45729</v>
      </c>
      <c r="C33" s="296">
        <v>23</v>
      </c>
      <c r="D33" s="296">
        <v>1</v>
      </c>
      <c r="E33" s="296">
        <v>8</v>
      </c>
      <c r="F33" s="296">
        <v>1</v>
      </c>
      <c r="G33" s="297" t="s">
        <v>7</v>
      </c>
      <c r="H33" s="299" t="s">
        <v>1256</v>
      </c>
      <c r="I33" s="298" t="s">
        <v>1257</v>
      </c>
      <c r="J33" s="298" t="s">
        <v>1238</v>
      </c>
      <c r="K33" s="299" t="s">
        <v>721</v>
      </c>
      <c r="L33" s="592" t="s">
        <v>61</v>
      </c>
      <c r="M33" s="593"/>
      <c r="N33" s="301"/>
      <c r="P33" s="193">
        <f>IF(R33 = "", "", COUNT(R$4:$R33))</f>
        <v>30</v>
      </c>
      <c r="Q33" s="193">
        <f t="shared" si="0"/>
        <v>2025</v>
      </c>
      <c r="R33" s="194">
        <f t="shared" si="1"/>
        <v>1</v>
      </c>
      <c r="S33" s="195">
        <f t="shared" si="3"/>
        <v>1</v>
      </c>
      <c r="T33" s="196" t="str">
        <f t="shared" si="4"/>
        <v>O</v>
      </c>
      <c r="U33" s="197" t="str">
        <f t="shared" si="5"/>
        <v/>
      </c>
      <c r="V33" s="198" t="str">
        <f t="shared" si="2"/>
        <v/>
      </c>
      <c r="W33" s="339" t="str">
        <f t="shared" si="6"/>
        <v/>
      </c>
      <c r="X33" s="341" t="str">
        <f t="shared" si="7"/>
        <v/>
      </c>
      <c r="Y33" s="277"/>
      <c r="Z33" s="794"/>
      <c r="AA33" s="114"/>
      <c r="AB33" s="789"/>
      <c r="AC33" s="789"/>
      <c r="AD33" s="789"/>
      <c r="AE33" s="789"/>
      <c r="AF33" s="789"/>
      <c r="AG33" s="790"/>
      <c r="AR33">
        <f t="shared" si="9"/>
        <v>30</v>
      </c>
      <c r="AS33" t="str">
        <f t="shared" si="10"/>
        <v>Y</v>
      </c>
    </row>
    <row r="34" spans="1:45">
      <c r="A34" s="294">
        <v>108071192</v>
      </c>
      <c r="B34" s="295">
        <v>45754</v>
      </c>
      <c r="C34" s="296">
        <v>21</v>
      </c>
      <c r="D34" s="296">
        <v>2</v>
      </c>
      <c r="E34" s="296">
        <v>7</v>
      </c>
      <c r="F34" s="296">
        <v>1</v>
      </c>
      <c r="G34" s="297" t="s">
        <v>7</v>
      </c>
      <c r="H34" s="299" t="s">
        <v>1291</v>
      </c>
      <c r="I34" s="298" t="s">
        <v>771</v>
      </c>
      <c r="J34" s="298" t="s">
        <v>1320</v>
      </c>
      <c r="K34" s="299" t="s">
        <v>722</v>
      </c>
      <c r="L34" s="592"/>
      <c r="M34" s="593"/>
      <c r="N34" s="301"/>
      <c r="P34" s="193">
        <f>IF(R34 = "", "", COUNT(R$4:$R34))</f>
        <v>31</v>
      </c>
      <c r="Q34" s="193">
        <f t="shared" si="0"/>
        <v>2025</v>
      </c>
      <c r="R34" s="194">
        <f t="shared" si="1"/>
        <v>1</v>
      </c>
      <c r="S34" s="195" t="str">
        <f t="shared" si="3"/>
        <v/>
      </c>
      <c r="T34" s="196" t="str">
        <f t="shared" si="4"/>
        <v/>
      </c>
      <c r="U34" s="197" t="str">
        <f t="shared" si="5"/>
        <v/>
      </c>
      <c r="V34" s="198" t="str">
        <f t="shared" si="2"/>
        <v/>
      </c>
      <c r="W34" s="339" t="str">
        <f t="shared" si="6"/>
        <v/>
      </c>
      <c r="X34" s="341" t="str">
        <f t="shared" si="7"/>
        <v/>
      </c>
      <c r="Y34" s="277"/>
      <c r="Z34" s="794"/>
      <c r="AA34" s="114"/>
      <c r="AB34" s="789"/>
      <c r="AC34" s="789"/>
      <c r="AD34" s="789"/>
      <c r="AE34" s="789"/>
      <c r="AF34" s="789"/>
      <c r="AG34" s="790"/>
      <c r="AR34">
        <f t="shared" si="9"/>
        <v>31</v>
      </c>
      <c r="AS34" t="str">
        <f t="shared" si="10"/>
        <v/>
      </c>
    </row>
    <row r="35" spans="1:45">
      <c r="A35" s="294">
        <v>108264224</v>
      </c>
      <c r="B35" s="295">
        <v>45942</v>
      </c>
      <c r="C35" s="296">
        <v>27</v>
      </c>
      <c r="D35" s="296">
        <v>2</v>
      </c>
      <c r="E35" s="296">
        <v>12</v>
      </c>
      <c r="F35" s="296">
        <v>1</v>
      </c>
      <c r="G35" s="297" t="s">
        <v>3</v>
      </c>
      <c r="H35" s="299" t="s">
        <v>1319</v>
      </c>
      <c r="I35" s="298" t="s">
        <v>1318</v>
      </c>
      <c r="J35" s="298" t="s">
        <v>1320</v>
      </c>
      <c r="K35" s="299" t="s">
        <v>721</v>
      </c>
      <c r="L35" s="592"/>
      <c r="M35" s="593"/>
      <c r="N35" s="301"/>
      <c r="P35" s="193">
        <f>IF(R35 = "", "", COUNT(R$4:$R35))</f>
        <v>32</v>
      </c>
      <c r="Q35" s="193">
        <f t="shared" si="0"/>
        <v>2025</v>
      </c>
      <c r="R35" s="194">
        <f t="shared" si="1"/>
        <v>8.4</v>
      </c>
      <c r="S35" s="195" t="str">
        <f t="shared" si="3"/>
        <v/>
      </c>
      <c r="T35" s="196" t="str">
        <f t="shared" si="4"/>
        <v/>
      </c>
      <c r="U35" s="197" t="str">
        <f t="shared" si="5"/>
        <v/>
      </c>
      <c r="V35" s="198" t="str">
        <f t="shared" si="2"/>
        <v/>
      </c>
      <c r="W35" s="339" t="str">
        <f t="shared" si="6"/>
        <v/>
      </c>
      <c r="X35" s="341" t="str">
        <f t="shared" si="7"/>
        <v/>
      </c>
      <c r="Y35" s="277"/>
      <c r="Z35" s="794"/>
      <c r="AA35" s="114"/>
      <c r="AB35" s="789"/>
      <c r="AC35" s="789"/>
      <c r="AD35" s="789"/>
      <c r="AE35" s="789"/>
      <c r="AF35" s="789"/>
      <c r="AG35" s="790"/>
      <c r="AR35">
        <f t="shared" si="9"/>
        <v>32</v>
      </c>
      <c r="AS35" t="str">
        <f t="shared" si="10"/>
        <v/>
      </c>
    </row>
    <row r="36" spans="1:45">
      <c r="A36" s="294">
        <v>108278028</v>
      </c>
      <c r="B36" s="295">
        <v>45955</v>
      </c>
      <c r="C36" s="296">
        <v>30</v>
      </c>
      <c r="D36" s="296">
        <v>1</v>
      </c>
      <c r="E36" s="296">
        <v>0</v>
      </c>
      <c r="F36" s="296">
        <v>4</v>
      </c>
      <c r="G36" s="297" t="s">
        <v>7</v>
      </c>
      <c r="H36" s="299" t="s">
        <v>1316</v>
      </c>
      <c r="I36" s="298" t="s">
        <v>772</v>
      </c>
      <c r="J36" s="298" t="s">
        <v>771</v>
      </c>
      <c r="K36" s="299" t="s">
        <v>722</v>
      </c>
      <c r="L36" s="592"/>
      <c r="M36" s="593"/>
      <c r="N36" s="301"/>
      <c r="P36" s="193">
        <f>IF(R36 = "", "", COUNT(R$4:$R36))</f>
        <v>33</v>
      </c>
      <c r="Q36" s="193">
        <f t="shared" si="0"/>
        <v>2025</v>
      </c>
      <c r="R36" s="194">
        <f t="shared" si="1"/>
        <v>1</v>
      </c>
      <c r="S36" s="195" t="str">
        <f t="shared" si="3"/>
        <v/>
      </c>
      <c r="T36" s="196" t="str">
        <f t="shared" si="4"/>
        <v/>
      </c>
      <c r="U36" s="197" t="str">
        <f t="shared" si="5"/>
        <v/>
      </c>
      <c r="V36" s="198" t="str">
        <f t="shared" si="2"/>
        <v/>
      </c>
      <c r="W36" s="339" t="str">
        <f t="shared" si="6"/>
        <v/>
      </c>
      <c r="X36" s="341" t="str">
        <f t="shared" si="7"/>
        <v/>
      </c>
      <c r="Y36" s="277"/>
      <c r="Z36" s="794"/>
      <c r="AA36" s="218" t="s">
        <v>45</v>
      </c>
      <c r="AB36" s="701" t="s">
        <v>703</v>
      </c>
      <c r="AC36" s="701"/>
      <c r="AD36" s="701"/>
      <c r="AE36" s="701"/>
      <c r="AF36" s="701"/>
      <c r="AG36" s="791"/>
      <c r="AR36">
        <f t="shared" si="9"/>
        <v>33</v>
      </c>
      <c r="AS36" t="str">
        <f t="shared" si="10"/>
        <v/>
      </c>
    </row>
    <row r="37" spans="1:45" ht="15" customHeight="1">
      <c r="A37" s="294">
        <v>108527871</v>
      </c>
      <c r="B37" s="295">
        <v>46185</v>
      </c>
      <c r="C37" s="296">
        <v>2</v>
      </c>
      <c r="D37" s="296">
        <v>1</v>
      </c>
      <c r="E37" s="296">
        <v>7</v>
      </c>
      <c r="F37" s="296">
        <v>1</v>
      </c>
      <c r="G37" s="297" t="s">
        <v>8</v>
      </c>
      <c r="H37" s="299" t="s">
        <v>1239</v>
      </c>
      <c r="I37" s="298" t="s">
        <v>1240</v>
      </c>
      <c r="J37" s="298"/>
      <c r="K37" s="299" t="s">
        <v>723</v>
      </c>
      <c r="L37" s="592"/>
      <c r="M37" s="593"/>
      <c r="N37" s="301"/>
      <c r="P37" s="193">
        <f>IF(R37 = "", "", COUNT(R$4:$R37))</f>
        <v>34</v>
      </c>
      <c r="Q37" s="193">
        <f t="shared" si="0"/>
        <v>2026</v>
      </c>
      <c r="R37" s="194">
        <f t="shared" si="1"/>
        <v>8.4</v>
      </c>
      <c r="S37" s="195" t="str">
        <f t="shared" si="3"/>
        <v/>
      </c>
      <c r="T37" s="196" t="str">
        <f t="shared" si="4"/>
        <v/>
      </c>
      <c r="U37" s="197" t="str">
        <f t="shared" si="5"/>
        <v/>
      </c>
      <c r="V37" s="198" t="str">
        <f t="shared" si="2"/>
        <v/>
      </c>
      <c r="W37" s="339" t="str">
        <f t="shared" si="6"/>
        <v/>
      </c>
      <c r="X37" s="341" t="str">
        <f t="shared" si="7"/>
        <v/>
      </c>
      <c r="Y37" s="277"/>
      <c r="Z37" s="794"/>
      <c r="AA37" s="114"/>
      <c r="AB37" s="701"/>
      <c r="AC37" s="701"/>
      <c r="AD37" s="701"/>
      <c r="AE37" s="701"/>
      <c r="AF37" s="701"/>
      <c r="AG37" s="791"/>
      <c r="AR37">
        <f t="shared" si="9"/>
        <v>34</v>
      </c>
      <c r="AS37" t="str">
        <f t="shared" si="10"/>
        <v/>
      </c>
    </row>
    <row r="38" spans="1:45" ht="14.5" customHeight="1">
      <c r="A38" s="294">
        <v>108604168</v>
      </c>
      <c r="B38" s="295">
        <v>46262</v>
      </c>
      <c r="C38" s="296">
        <v>30</v>
      </c>
      <c r="D38" s="296">
        <v>2</v>
      </c>
      <c r="E38" s="296">
        <v>7</v>
      </c>
      <c r="F38" s="296">
        <v>1</v>
      </c>
      <c r="G38" s="297" t="s">
        <v>7</v>
      </c>
      <c r="H38" s="299" t="s">
        <v>1252</v>
      </c>
      <c r="I38" s="298" t="s">
        <v>774</v>
      </c>
      <c r="J38" s="298" t="s">
        <v>771</v>
      </c>
      <c r="K38" s="299" t="s">
        <v>723</v>
      </c>
      <c r="L38" s="592"/>
      <c r="M38" s="593"/>
      <c r="N38" s="301"/>
      <c r="P38" s="193">
        <f>IF(R38 = "", "", COUNT(R$4:$R38))</f>
        <v>35</v>
      </c>
      <c r="Q38" s="193">
        <f t="shared" si="0"/>
        <v>2026</v>
      </c>
      <c r="R38" s="194">
        <f t="shared" si="1"/>
        <v>1</v>
      </c>
      <c r="S38" s="195" t="str">
        <f t="shared" si="3"/>
        <v/>
      </c>
      <c r="T38" s="196" t="str">
        <f t="shared" si="4"/>
        <v/>
      </c>
      <c r="U38" s="197" t="str">
        <f t="shared" si="5"/>
        <v/>
      </c>
      <c r="V38" s="198" t="str">
        <f t="shared" si="2"/>
        <v/>
      </c>
      <c r="W38" s="339" t="str">
        <f t="shared" si="6"/>
        <v/>
      </c>
      <c r="X38" s="341" t="str">
        <f t="shared" si="7"/>
        <v/>
      </c>
      <c r="Y38" s="277"/>
      <c r="Z38" s="794"/>
      <c r="AA38" s="218" t="s">
        <v>45</v>
      </c>
      <c r="AB38" s="701" t="s">
        <v>705</v>
      </c>
      <c r="AC38" s="701"/>
      <c r="AD38" s="701"/>
      <c r="AE38" s="701"/>
      <c r="AF38" s="701"/>
      <c r="AG38" s="791"/>
      <c r="AR38">
        <f t="shared" si="9"/>
        <v>35</v>
      </c>
      <c r="AS38" t="str">
        <f t="shared" si="10"/>
        <v/>
      </c>
    </row>
    <row r="39" spans="1:45">
      <c r="A39" s="294"/>
      <c r="B39" s="295"/>
      <c r="C39" s="296"/>
      <c r="D39" s="296"/>
      <c r="E39" s="296"/>
      <c r="F39" s="296"/>
      <c r="G39" s="297"/>
      <c r="H39" s="299"/>
      <c r="I39" s="298"/>
      <c r="J39" s="298"/>
      <c r="K39" s="299"/>
      <c r="L39" s="592"/>
      <c r="M39" s="593"/>
      <c r="N39" s="301"/>
      <c r="P39" s="193" t="str">
        <f>IF(R39 = "", "", COUNT(R$4:$R39))</f>
        <v/>
      </c>
      <c r="Q39" s="193" t="str">
        <f t="shared" si="0"/>
        <v/>
      </c>
      <c r="R39" s="194" t="str">
        <f t="shared" si="1"/>
        <v/>
      </c>
      <c r="S39" s="195" t="str">
        <f t="shared" si="3"/>
        <v/>
      </c>
      <c r="T39" s="196" t="str">
        <f t="shared" si="4"/>
        <v/>
      </c>
      <c r="U39" s="197" t="str">
        <f t="shared" si="5"/>
        <v/>
      </c>
      <c r="V39" s="198" t="str">
        <f t="shared" si="2"/>
        <v/>
      </c>
      <c r="W39" s="339" t="str">
        <f t="shared" si="6"/>
        <v/>
      </c>
      <c r="X39" s="341" t="str">
        <f t="shared" si="7"/>
        <v/>
      </c>
      <c r="Y39" s="277"/>
      <c r="Z39" s="795"/>
      <c r="AA39" s="308"/>
      <c r="AB39" s="792"/>
      <c r="AC39" s="792"/>
      <c r="AD39" s="792"/>
      <c r="AE39" s="792"/>
      <c r="AF39" s="792"/>
      <c r="AG39" s="793"/>
      <c r="AR39" t="str">
        <f t="shared" si="9"/>
        <v/>
      </c>
      <c r="AS39" t="str">
        <f t="shared" si="10"/>
        <v/>
      </c>
    </row>
    <row r="40" spans="1:45">
      <c r="A40" s="294"/>
      <c r="B40" s="295"/>
      <c r="C40" s="296"/>
      <c r="D40" s="296"/>
      <c r="E40" s="296"/>
      <c r="F40" s="296"/>
      <c r="G40" s="297"/>
      <c r="H40" s="299"/>
      <c r="I40" s="298"/>
      <c r="J40" s="298"/>
      <c r="K40" s="299"/>
      <c r="L40" s="592"/>
      <c r="M40" s="593"/>
      <c r="N40" s="301"/>
      <c r="P40" s="193" t="str">
        <f>IF(R40 = "", "", COUNT(R$4:$R40))</f>
        <v/>
      </c>
      <c r="Q40" s="193" t="str">
        <f t="shared" si="0"/>
        <v/>
      </c>
      <c r="R40" s="194" t="str">
        <f t="shared" si="1"/>
        <v/>
      </c>
      <c r="S40" s="195" t="str">
        <f t="shared" si="3"/>
        <v/>
      </c>
      <c r="T40" s="196" t="str">
        <f t="shared" si="4"/>
        <v/>
      </c>
      <c r="U40" s="197" t="str">
        <f t="shared" si="5"/>
        <v/>
      </c>
      <c r="V40" s="198" t="str">
        <f t="shared" si="2"/>
        <v/>
      </c>
      <c r="W40" s="339" t="str">
        <f t="shared" si="6"/>
        <v/>
      </c>
      <c r="X40" s="341" t="str">
        <f t="shared" si="7"/>
        <v/>
      </c>
      <c r="Y40" s="277"/>
      <c r="Z40" s="781">
        <v>4</v>
      </c>
      <c r="AA40" s="783" t="s">
        <v>706</v>
      </c>
      <c r="AB40" s="783"/>
      <c r="AC40" s="783"/>
      <c r="AD40" s="783"/>
      <c r="AE40" s="783"/>
      <c r="AF40" s="783"/>
      <c r="AG40" s="784"/>
      <c r="AR40" t="str">
        <f t="shared" si="9"/>
        <v/>
      </c>
      <c r="AS40" t="str">
        <f t="shared" si="10"/>
        <v/>
      </c>
    </row>
    <row r="41" spans="1:45" ht="15" customHeight="1" thickBot="1">
      <c r="A41" s="294"/>
      <c r="B41" s="295"/>
      <c r="C41" s="296"/>
      <c r="D41" s="296"/>
      <c r="E41" s="296"/>
      <c r="F41" s="296"/>
      <c r="G41" s="297"/>
      <c r="H41" s="299"/>
      <c r="I41" s="298"/>
      <c r="J41" s="298"/>
      <c r="K41" s="299"/>
      <c r="L41" s="592"/>
      <c r="M41" s="593"/>
      <c r="N41" s="301"/>
      <c r="P41" s="193" t="str">
        <f>IF(R41 = "", "", COUNT(R$4:$R41))</f>
        <v/>
      </c>
      <c r="Q41" s="193" t="str">
        <f t="shared" si="0"/>
        <v/>
      </c>
      <c r="R41" s="194" t="str">
        <f t="shared" si="1"/>
        <v/>
      </c>
      <c r="S41" s="195" t="str">
        <f t="shared" si="3"/>
        <v/>
      </c>
      <c r="T41" s="196" t="str">
        <f t="shared" si="4"/>
        <v/>
      </c>
      <c r="U41" s="197" t="str">
        <f t="shared" si="5"/>
        <v/>
      </c>
      <c r="V41" s="198" t="str">
        <f t="shared" si="2"/>
        <v/>
      </c>
      <c r="W41" s="339" t="str">
        <f t="shared" si="6"/>
        <v/>
      </c>
      <c r="X41" s="341" t="str">
        <f t="shared" si="7"/>
        <v/>
      </c>
      <c r="Y41" s="277"/>
      <c r="Z41" s="782"/>
      <c r="AA41" s="785"/>
      <c r="AB41" s="785"/>
      <c r="AC41" s="785"/>
      <c r="AD41" s="785"/>
      <c r="AE41" s="785"/>
      <c r="AF41" s="785"/>
      <c r="AG41" s="786"/>
      <c r="AR41" t="str">
        <f t="shared" si="9"/>
        <v/>
      </c>
      <c r="AS41" t="str">
        <f t="shared" si="10"/>
        <v/>
      </c>
    </row>
    <row r="42" spans="1:45">
      <c r="A42" s="294"/>
      <c r="B42" s="295"/>
      <c r="C42" s="296"/>
      <c r="D42" s="296"/>
      <c r="E42" s="296"/>
      <c r="F42" s="296"/>
      <c r="G42" s="297"/>
      <c r="H42" s="299"/>
      <c r="I42" s="298"/>
      <c r="J42" s="298"/>
      <c r="K42" s="299"/>
      <c r="L42" s="592"/>
      <c r="M42" s="593"/>
      <c r="N42" s="301"/>
      <c r="P42" s="193" t="str">
        <f>IF(R42 = "", "", COUNT(R$4:$R42))</f>
        <v/>
      </c>
      <c r="Q42" s="193" t="str">
        <f t="shared" si="0"/>
        <v/>
      </c>
      <c r="R42" s="194" t="str">
        <f t="shared" si="1"/>
        <v/>
      </c>
      <c r="S42" s="195" t="str">
        <f t="shared" si="3"/>
        <v/>
      </c>
      <c r="T42" s="196" t="str">
        <f t="shared" si="4"/>
        <v/>
      </c>
      <c r="U42" s="197" t="str">
        <f t="shared" si="5"/>
        <v/>
      </c>
      <c r="V42" s="198" t="str">
        <f t="shared" si="2"/>
        <v/>
      </c>
      <c r="W42" s="339" t="str">
        <f t="shared" si="6"/>
        <v/>
      </c>
      <c r="X42" s="341" t="str">
        <f t="shared" si="7"/>
        <v/>
      </c>
      <c r="Y42" s="277"/>
      <c r="AR42" t="str">
        <f t="shared" si="9"/>
        <v/>
      </c>
      <c r="AS42" t="str">
        <f t="shared" si="10"/>
        <v/>
      </c>
    </row>
    <row r="43" spans="1:45">
      <c r="A43" s="294"/>
      <c r="B43" s="295"/>
      <c r="C43" s="296"/>
      <c r="D43" s="296"/>
      <c r="E43" s="296"/>
      <c r="F43" s="296"/>
      <c r="G43" s="297"/>
      <c r="H43" s="299"/>
      <c r="I43" s="298"/>
      <c r="J43" s="298"/>
      <c r="K43" s="299"/>
      <c r="L43" s="592"/>
      <c r="M43" s="593"/>
      <c r="N43" s="301"/>
      <c r="P43" s="193" t="str">
        <f>IF(R43 = "", "", COUNT(R$4:$R43))</f>
        <v/>
      </c>
      <c r="Q43" s="193" t="str">
        <f t="shared" si="0"/>
        <v/>
      </c>
      <c r="R43" s="194" t="str">
        <f t="shared" si="1"/>
        <v/>
      </c>
      <c r="S43" s="195" t="str">
        <f t="shared" si="3"/>
        <v/>
      </c>
      <c r="T43" s="196" t="str">
        <f t="shared" si="4"/>
        <v/>
      </c>
      <c r="U43" s="197" t="str">
        <f t="shared" si="5"/>
        <v/>
      </c>
      <c r="V43" s="198" t="str">
        <f t="shared" si="2"/>
        <v/>
      </c>
      <c r="W43" s="339" t="str">
        <f t="shared" si="6"/>
        <v/>
      </c>
      <c r="X43" s="341" t="str">
        <f t="shared" si="7"/>
        <v/>
      </c>
      <c r="Y43" s="277"/>
      <c r="AR43" t="str">
        <f t="shared" si="9"/>
        <v/>
      </c>
      <c r="AS43" t="str">
        <f t="shared" si="10"/>
        <v/>
      </c>
    </row>
    <row r="44" spans="1:45">
      <c r="A44" s="294"/>
      <c r="B44" s="295"/>
      <c r="C44" s="296"/>
      <c r="D44" s="296"/>
      <c r="E44" s="296"/>
      <c r="F44" s="296"/>
      <c r="G44" s="297"/>
      <c r="H44" s="299"/>
      <c r="I44" s="298"/>
      <c r="J44" s="298"/>
      <c r="K44" s="299"/>
      <c r="L44" s="592"/>
      <c r="M44" s="593"/>
      <c r="N44" s="301"/>
      <c r="P44" s="193" t="str">
        <f>IF(R44 = "", "", COUNT(R$4:$R44))</f>
        <v/>
      </c>
      <c r="Q44" s="193" t="str">
        <f t="shared" si="0"/>
        <v/>
      </c>
      <c r="R44" s="194" t="str">
        <f t="shared" si="1"/>
        <v/>
      </c>
      <c r="S44" s="195" t="str">
        <f t="shared" si="3"/>
        <v/>
      </c>
      <c r="T44" s="196" t="str">
        <f t="shared" si="4"/>
        <v/>
      </c>
      <c r="U44" s="197" t="str">
        <f t="shared" si="5"/>
        <v/>
      </c>
      <c r="V44" s="198" t="str">
        <f t="shared" si="2"/>
        <v/>
      </c>
      <c r="W44" s="339" t="str">
        <f t="shared" si="6"/>
        <v/>
      </c>
      <c r="X44" s="341" t="str">
        <f t="shared" si="7"/>
        <v/>
      </c>
      <c r="Y44" s="277"/>
      <c r="AR44" t="str">
        <f t="shared" si="9"/>
        <v/>
      </c>
      <c r="AS44" t="str">
        <f t="shared" si="10"/>
        <v/>
      </c>
    </row>
    <row r="45" spans="1:45">
      <c r="A45" s="294"/>
      <c r="B45" s="295"/>
      <c r="C45" s="296"/>
      <c r="D45" s="296"/>
      <c r="E45" s="296"/>
      <c r="F45" s="296"/>
      <c r="G45" s="297"/>
      <c r="H45" s="299"/>
      <c r="I45" s="298"/>
      <c r="J45" s="298"/>
      <c r="K45" s="299"/>
      <c r="L45" s="592"/>
      <c r="M45" s="593"/>
      <c r="N45" s="301"/>
      <c r="P45" s="193" t="str">
        <f>IF(R45 = "", "", COUNT(R$4:$R45))</f>
        <v/>
      </c>
      <c r="Q45" s="193" t="str">
        <f t="shared" si="0"/>
        <v/>
      </c>
      <c r="R45" s="194" t="str">
        <f t="shared" si="1"/>
        <v/>
      </c>
      <c r="S45" s="195" t="str">
        <f t="shared" si="3"/>
        <v/>
      </c>
      <c r="T45" s="196" t="str">
        <f t="shared" si="4"/>
        <v/>
      </c>
      <c r="U45" s="197" t="str">
        <f t="shared" si="5"/>
        <v/>
      </c>
      <c r="V45" s="198" t="str">
        <f t="shared" si="2"/>
        <v/>
      </c>
      <c r="W45" s="339" t="str">
        <f t="shared" si="6"/>
        <v/>
      </c>
      <c r="X45" s="341" t="str">
        <f t="shared" si="7"/>
        <v/>
      </c>
      <c r="Y45" s="277"/>
      <c r="AR45" t="str">
        <f t="shared" si="9"/>
        <v/>
      </c>
      <c r="AS45" t="str">
        <f t="shared" si="10"/>
        <v/>
      </c>
    </row>
    <row r="46" spans="1:45">
      <c r="A46" s="294"/>
      <c r="B46" s="295"/>
      <c r="C46" s="296"/>
      <c r="D46" s="296"/>
      <c r="E46" s="296"/>
      <c r="F46" s="296"/>
      <c r="G46" s="297"/>
      <c r="H46" s="299"/>
      <c r="I46" s="298"/>
      <c r="J46" s="298"/>
      <c r="K46" s="299"/>
      <c r="L46" s="592"/>
      <c r="M46" s="593"/>
      <c r="N46" s="301"/>
      <c r="P46" s="193" t="str">
        <f>IF(R46 = "", "", COUNT(R$4:$R46))</f>
        <v/>
      </c>
      <c r="Q46" s="193" t="str">
        <f t="shared" si="0"/>
        <v/>
      </c>
      <c r="R46" s="194" t="str">
        <f t="shared" si="1"/>
        <v/>
      </c>
      <c r="S46" s="195" t="str">
        <f t="shared" si="3"/>
        <v/>
      </c>
      <c r="T46" s="196" t="str">
        <f t="shared" si="4"/>
        <v/>
      </c>
      <c r="U46" s="197" t="str">
        <f t="shared" si="5"/>
        <v/>
      </c>
      <c r="V46" s="198" t="str">
        <f t="shared" si="2"/>
        <v/>
      </c>
      <c r="W46" s="339" t="str">
        <f t="shared" si="6"/>
        <v/>
      </c>
      <c r="X46" s="341" t="str">
        <f t="shared" si="7"/>
        <v/>
      </c>
      <c r="Y46" s="277"/>
      <c r="AR46" t="str">
        <f t="shared" si="9"/>
        <v/>
      </c>
      <c r="AS46" t="str">
        <f t="shared" si="10"/>
        <v/>
      </c>
    </row>
    <row r="47" spans="1:45">
      <c r="A47" s="294"/>
      <c r="B47" s="295"/>
      <c r="C47" s="296"/>
      <c r="D47" s="296"/>
      <c r="E47" s="296"/>
      <c r="F47" s="296"/>
      <c r="G47" s="297"/>
      <c r="H47" s="299"/>
      <c r="I47" s="298"/>
      <c r="J47" s="298"/>
      <c r="K47" s="299"/>
      <c r="L47" s="592"/>
      <c r="M47" s="593"/>
      <c r="N47" s="301"/>
      <c r="P47" s="193" t="str">
        <f>IF(R47 = "", "", COUNT(R$4:$R47))</f>
        <v/>
      </c>
      <c r="Q47" s="193" t="str">
        <f t="shared" si="0"/>
        <v/>
      </c>
      <c r="R47" s="194" t="str">
        <f t="shared" si="1"/>
        <v/>
      </c>
      <c r="S47" s="195" t="str">
        <f t="shared" si="3"/>
        <v/>
      </c>
      <c r="T47" s="196" t="str">
        <f t="shared" si="4"/>
        <v/>
      </c>
      <c r="U47" s="197" t="str">
        <f t="shared" si="5"/>
        <v/>
      </c>
      <c r="V47" s="198" t="str">
        <f t="shared" si="2"/>
        <v/>
      </c>
      <c r="W47" s="339" t="str">
        <f t="shared" si="6"/>
        <v/>
      </c>
      <c r="X47" s="341" t="str">
        <f t="shared" si="7"/>
        <v/>
      </c>
      <c r="Y47" s="277"/>
      <c r="AR47" t="str">
        <f t="shared" si="9"/>
        <v/>
      </c>
      <c r="AS47" t="str">
        <f t="shared" si="10"/>
        <v/>
      </c>
    </row>
    <row r="48" spans="1:45">
      <c r="A48" s="294"/>
      <c r="B48" s="295"/>
      <c r="C48" s="296"/>
      <c r="D48" s="296"/>
      <c r="E48" s="296"/>
      <c r="F48" s="296"/>
      <c r="G48" s="297"/>
      <c r="H48" s="299"/>
      <c r="I48" s="298"/>
      <c r="J48" s="298"/>
      <c r="K48" s="299"/>
      <c r="L48" s="592"/>
      <c r="M48" s="593"/>
      <c r="N48" s="301"/>
      <c r="P48" s="193" t="str">
        <f>IF(R48 = "", "", COUNT(R$4:$R48))</f>
        <v/>
      </c>
      <c r="Q48" s="193" t="str">
        <f t="shared" si="0"/>
        <v/>
      </c>
      <c r="R48" s="194" t="str">
        <f t="shared" si="1"/>
        <v/>
      </c>
      <c r="S48" s="195" t="str">
        <f t="shared" si="3"/>
        <v/>
      </c>
      <c r="T48" s="196" t="str">
        <f t="shared" si="4"/>
        <v/>
      </c>
      <c r="U48" s="197" t="str">
        <f t="shared" si="5"/>
        <v/>
      </c>
      <c r="V48" s="198" t="str">
        <f t="shared" si="2"/>
        <v/>
      </c>
      <c r="W48" s="339" t="str">
        <f t="shared" si="6"/>
        <v/>
      </c>
      <c r="X48" s="341" t="str">
        <f t="shared" si="7"/>
        <v/>
      </c>
      <c r="Y48" s="277"/>
      <c r="AR48" t="str">
        <f t="shared" si="9"/>
        <v/>
      </c>
      <c r="AS48" t="str">
        <f t="shared" si="10"/>
        <v/>
      </c>
    </row>
    <row r="49" spans="1:45">
      <c r="A49" s="294"/>
      <c r="B49" s="295"/>
      <c r="C49" s="296"/>
      <c r="D49" s="296"/>
      <c r="E49" s="296"/>
      <c r="F49" s="296"/>
      <c r="G49" s="297"/>
      <c r="H49" s="299"/>
      <c r="I49" s="298"/>
      <c r="J49" s="298"/>
      <c r="K49" s="299"/>
      <c r="L49" s="592"/>
      <c r="M49" s="593"/>
      <c r="N49" s="301"/>
      <c r="P49" s="193" t="str">
        <f>IF(R49 = "", "", COUNT(R$4:$R49))</f>
        <v/>
      </c>
      <c r="Q49" s="193" t="str">
        <f t="shared" si="0"/>
        <v/>
      </c>
      <c r="R49" s="194" t="str">
        <f t="shared" si="1"/>
        <v/>
      </c>
      <c r="S49" s="195" t="str">
        <f t="shared" si="3"/>
        <v/>
      </c>
      <c r="T49" s="196" t="str">
        <f t="shared" si="4"/>
        <v/>
      </c>
      <c r="U49" s="197" t="str">
        <f t="shared" si="5"/>
        <v/>
      </c>
      <c r="V49" s="198" t="str">
        <f t="shared" si="2"/>
        <v/>
      </c>
      <c r="W49" s="339" t="str">
        <f t="shared" si="6"/>
        <v/>
      </c>
      <c r="X49" s="341" t="str">
        <f t="shared" si="7"/>
        <v/>
      </c>
      <c r="Y49" s="277"/>
      <c r="AR49" t="str">
        <f t="shared" si="9"/>
        <v/>
      </c>
      <c r="AS49" t="str">
        <f t="shared" si="10"/>
        <v/>
      </c>
    </row>
    <row r="50" spans="1:45">
      <c r="A50" s="294"/>
      <c r="B50" s="295"/>
      <c r="C50" s="296"/>
      <c r="D50" s="296"/>
      <c r="E50" s="296"/>
      <c r="F50" s="296"/>
      <c r="G50" s="297"/>
      <c r="H50" s="299"/>
      <c r="I50" s="298"/>
      <c r="J50" s="298"/>
      <c r="K50" s="299"/>
      <c r="L50" s="592"/>
      <c r="M50" s="593"/>
      <c r="N50" s="301"/>
      <c r="P50" s="193" t="str">
        <f>IF(R50 = "", "", COUNT(R$4:$R50))</f>
        <v/>
      </c>
      <c r="Q50" s="193" t="str">
        <f t="shared" si="0"/>
        <v/>
      </c>
      <c r="R50" s="194" t="str">
        <f t="shared" si="1"/>
        <v/>
      </c>
      <c r="S50" s="195" t="str">
        <f t="shared" si="3"/>
        <v/>
      </c>
      <c r="T50" s="196" t="str">
        <f t="shared" si="4"/>
        <v/>
      </c>
      <c r="U50" s="197" t="str">
        <f t="shared" si="5"/>
        <v/>
      </c>
      <c r="V50" s="198" t="str">
        <f t="shared" si="2"/>
        <v/>
      </c>
      <c r="W50" s="339" t="str">
        <f t="shared" si="6"/>
        <v/>
      </c>
      <c r="X50" s="341" t="str">
        <f t="shared" si="7"/>
        <v/>
      </c>
      <c r="Y50" s="277"/>
      <c r="AR50" t="str">
        <f t="shared" si="9"/>
        <v/>
      </c>
      <c r="AS50" t="str">
        <f t="shared" si="10"/>
        <v/>
      </c>
    </row>
    <row r="51" spans="1:45">
      <c r="A51" s="294"/>
      <c r="B51" s="295"/>
      <c r="C51" s="296"/>
      <c r="D51" s="296"/>
      <c r="E51" s="296"/>
      <c r="F51" s="296"/>
      <c r="G51" s="297"/>
      <c r="H51" s="299"/>
      <c r="I51" s="298"/>
      <c r="J51" s="298"/>
      <c r="K51" s="299"/>
      <c r="L51" s="592"/>
      <c r="M51" s="593"/>
      <c r="N51" s="301"/>
      <c r="P51" s="193" t="str">
        <f>IF(R51 = "", "", COUNT(R$4:$R51))</f>
        <v/>
      </c>
      <c r="Q51" s="193" t="str">
        <f t="shared" si="0"/>
        <v/>
      </c>
      <c r="R51" s="194" t="str">
        <f t="shared" si="1"/>
        <v/>
      </c>
      <c r="S51" s="195" t="str">
        <f t="shared" si="3"/>
        <v/>
      </c>
      <c r="T51" s="196" t="str">
        <f t="shared" si="4"/>
        <v/>
      </c>
      <c r="U51" s="197" t="str">
        <f t="shared" si="5"/>
        <v/>
      </c>
      <c r="V51" s="198" t="str">
        <f t="shared" si="2"/>
        <v/>
      </c>
      <c r="W51" s="339" t="str">
        <f t="shared" si="6"/>
        <v/>
      </c>
      <c r="X51" s="341" t="str">
        <f t="shared" si="7"/>
        <v/>
      </c>
      <c r="Y51" s="277"/>
      <c r="AR51" t="str">
        <f t="shared" si="9"/>
        <v/>
      </c>
      <c r="AS51" t="str">
        <f t="shared" si="10"/>
        <v/>
      </c>
    </row>
    <row r="52" spans="1:45">
      <c r="A52" s="294"/>
      <c r="B52" s="295"/>
      <c r="C52" s="296"/>
      <c r="D52" s="296"/>
      <c r="E52" s="296"/>
      <c r="F52" s="296"/>
      <c r="G52" s="297"/>
      <c r="H52" s="299"/>
      <c r="I52" s="298"/>
      <c r="J52" s="298"/>
      <c r="K52" s="299"/>
      <c r="L52" s="592"/>
      <c r="M52" s="593"/>
      <c r="N52" s="301"/>
      <c r="P52" s="193" t="str">
        <f>IF(R52 = "", "", COUNT(R$4:$R52))</f>
        <v/>
      </c>
      <c r="Q52" s="193" t="str">
        <f t="shared" si="0"/>
        <v/>
      </c>
      <c r="R52" s="194" t="str">
        <f t="shared" si="1"/>
        <v/>
      </c>
      <c r="S52" s="195" t="str">
        <f t="shared" si="3"/>
        <v/>
      </c>
      <c r="T52" s="196" t="str">
        <f t="shared" si="4"/>
        <v/>
      </c>
      <c r="U52" s="197" t="str">
        <f t="shared" si="5"/>
        <v/>
      </c>
      <c r="V52" s="198" t="str">
        <f t="shared" si="2"/>
        <v/>
      </c>
      <c r="W52" s="339" t="str">
        <f t="shared" si="6"/>
        <v/>
      </c>
      <c r="X52" s="341" t="str">
        <f t="shared" si="7"/>
        <v/>
      </c>
      <c r="Y52" s="277"/>
      <c r="AR52" t="str">
        <f t="shared" si="9"/>
        <v/>
      </c>
      <c r="AS52" t="str">
        <f t="shared" si="10"/>
        <v/>
      </c>
    </row>
    <row r="53" spans="1:45">
      <c r="A53" s="294"/>
      <c r="B53" s="295"/>
      <c r="C53" s="296"/>
      <c r="D53" s="296"/>
      <c r="E53" s="296"/>
      <c r="F53" s="296"/>
      <c r="G53" s="297"/>
      <c r="H53" s="299"/>
      <c r="I53" s="298"/>
      <c r="J53" s="298"/>
      <c r="K53" s="299"/>
      <c r="L53" s="592"/>
      <c r="M53" s="593"/>
      <c r="N53" s="301"/>
      <c r="P53" s="193" t="str">
        <f>IF(R53 = "", "", COUNT(R$4:$R53))</f>
        <v/>
      </c>
      <c r="Q53" s="193" t="str">
        <f t="shared" si="0"/>
        <v/>
      </c>
      <c r="R53" s="194" t="str">
        <f t="shared" si="1"/>
        <v/>
      </c>
      <c r="S53" s="195" t="str">
        <f t="shared" si="3"/>
        <v/>
      </c>
      <c r="T53" s="196" t="str">
        <f t="shared" si="4"/>
        <v/>
      </c>
      <c r="U53" s="197" t="str">
        <f t="shared" si="5"/>
        <v/>
      </c>
      <c r="V53" s="198" t="str">
        <f t="shared" si="2"/>
        <v/>
      </c>
      <c r="W53" s="339" t="str">
        <f t="shared" si="6"/>
        <v/>
      </c>
      <c r="X53" s="341" t="str">
        <f t="shared" si="7"/>
        <v/>
      </c>
      <c r="Y53" s="277"/>
      <c r="AR53" t="str">
        <f t="shared" si="9"/>
        <v/>
      </c>
      <c r="AS53" t="str">
        <f t="shared" si="10"/>
        <v/>
      </c>
    </row>
    <row r="54" spans="1:45">
      <c r="A54" s="294"/>
      <c r="B54" s="295"/>
      <c r="C54" s="296"/>
      <c r="D54" s="296"/>
      <c r="E54" s="296"/>
      <c r="F54" s="296"/>
      <c r="G54" s="297"/>
      <c r="H54" s="299"/>
      <c r="I54" s="298"/>
      <c r="J54" s="298"/>
      <c r="K54" s="299"/>
      <c r="L54" s="592"/>
      <c r="M54" s="593"/>
      <c r="N54" s="301"/>
      <c r="P54" s="193" t="str">
        <f>IF(R54 = "", "", COUNT(R$4:$R54))</f>
        <v/>
      </c>
      <c r="Q54" s="193" t="str">
        <f t="shared" si="0"/>
        <v/>
      </c>
      <c r="R54" s="194" t="str">
        <f t="shared" si="1"/>
        <v/>
      </c>
      <c r="S54" s="195" t="str">
        <f t="shared" si="3"/>
        <v/>
      </c>
      <c r="T54" s="196" t="str">
        <f t="shared" si="4"/>
        <v/>
      </c>
      <c r="U54" s="197" t="str">
        <f t="shared" si="5"/>
        <v/>
      </c>
      <c r="V54" s="198" t="str">
        <f t="shared" si="2"/>
        <v/>
      </c>
      <c r="W54" s="339" t="str">
        <f t="shared" si="6"/>
        <v/>
      </c>
      <c r="X54" s="341" t="str">
        <f t="shared" si="7"/>
        <v/>
      </c>
      <c r="Y54" s="277"/>
      <c r="AR54" t="str">
        <f t="shared" si="9"/>
        <v/>
      </c>
      <c r="AS54" t="str">
        <f t="shared" si="10"/>
        <v/>
      </c>
    </row>
    <row r="55" spans="1:45">
      <c r="A55" s="294"/>
      <c r="B55" s="295"/>
      <c r="C55" s="296"/>
      <c r="D55" s="296"/>
      <c r="E55" s="296"/>
      <c r="F55" s="296"/>
      <c r="G55" s="297"/>
      <c r="H55" s="299"/>
      <c r="I55" s="298"/>
      <c r="J55" s="298"/>
      <c r="K55" s="299"/>
      <c r="L55" s="592"/>
      <c r="M55" s="593"/>
      <c r="N55" s="301"/>
      <c r="P55" s="193" t="str">
        <f>IF(R55 = "", "", COUNT(R$4:$R55))</f>
        <v/>
      </c>
      <c r="Q55" s="193" t="str">
        <f t="shared" si="0"/>
        <v/>
      </c>
      <c r="R55" s="194" t="str">
        <f t="shared" si="1"/>
        <v/>
      </c>
      <c r="S55" s="195" t="str">
        <f t="shared" si="3"/>
        <v/>
      </c>
      <c r="T55" s="196" t="str">
        <f t="shared" si="4"/>
        <v/>
      </c>
      <c r="U55" s="197" t="str">
        <f t="shared" si="5"/>
        <v/>
      </c>
      <c r="V55" s="198" t="str">
        <f t="shared" si="2"/>
        <v/>
      </c>
      <c r="W55" s="339" t="str">
        <f t="shared" si="6"/>
        <v/>
      </c>
      <c r="X55" s="341" t="str">
        <f t="shared" si="7"/>
        <v/>
      </c>
      <c r="Y55" s="277"/>
      <c r="AR55" t="str">
        <f t="shared" si="9"/>
        <v/>
      </c>
      <c r="AS55" t="str">
        <f t="shared" si="10"/>
        <v/>
      </c>
    </row>
    <row r="56" spans="1:45">
      <c r="A56" s="294"/>
      <c r="B56" s="295"/>
      <c r="C56" s="296"/>
      <c r="D56" s="296"/>
      <c r="E56" s="296"/>
      <c r="F56" s="296"/>
      <c r="G56" s="297"/>
      <c r="H56" s="299"/>
      <c r="I56" s="298"/>
      <c r="J56" s="298"/>
      <c r="K56" s="299"/>
      <c r="L56" s="592"/>
      <c r="M56" s="593"/>
      <c r="N56" s="301"/>
      <c r="P56" s="193" t="str">
        <f>IF(R56 = "", "", COUNT(R$4:$R56))</f>
        <v/>
      </c>
      <c r="Q56" s="193" t="str">
        <f t="shared" si="0"/>
        <v/>
      </c>
      <c r="R56" s="194" t="str">
        <f t="shared" si="1"/>
        <v/>
      </c>
      <c r="S56" s="195" t="str">
        <f t="shared" si="3"/>
        <v/>
      </c>
      <c r="T56" s="196" t="str">
        <f t="shared" si="4"/>
        <v/>
      </c>
      <c r="U56" s="197" t="str">
        <f t="shared" si="5"/>
        <v/>
      </c>
      <c r="V56" s="198" t="str">
        <f t="shared" si="2"/>
        <v/>
      </c>
      <c r="W56" s="339" t="str">
        <f t="shared" si="6"/>
        <v/>
      </c>
      <c r="X56" s="341" t="str">
        <f t="shared" si="7"/>
        <v/>
      </c>
      <c r="Y56" s="277"/>
      <c r="AR56" t="str">
        <f t="shared" si="9"/>
        <v/>
      </c>
      <c r="AS56" t="str">
        <f t="shared" si="10"/>
        <v/>
      </c>
    </row>
    <row r="57" spans="1:45">
      <c r="A57" s="294"/>
      <c r="B57" s="295"/>
      <c r="C57" s="296"/>
      <c r="D57" s="296"/>
      <c r="E57" s="296"/>
      <c r="F57" s="296"/>
      <c r="G57" s="297"/>
      <c r="H57" s="299"/>
      <c r="I57" s="298"/>
      <c r="J57" s="298"/>
      <c r="K57" s="299"/>
      <c r="L57" s="592"/>
      <c r="M57" s="593"/>
      <c r="N57" s="301"/>
      <c r="P57" s="193" t="str">
        <f>IF(R57 = "", "", COUNT(R$4:$R57))</f>
        <v/>
      </c>
      <c r="Q57" s="193" t="str">
        <f t="shared" si="0"/>
        <v/>
      </c>
      <c r="R57" s="194" t="str">
        <f t="shared" si="1"/>
        <v/>
      </c>
      <c r="S57" s="195" t="str">
        <f t="shared" si="3"/>
        <v/>
      </c>
      <c r="T57" s="196" t="str">
        <f t="shared" si="4"/>
        <v/>
      </c>
      <c r="U57" s="197" t="str">
        <f t="shared" si="5"/>
        <v/>
      </c>
      <c r="V57" s="198" t="str">
        <f t="shared" si="2"/>
        <v/>
      </c>
      <c r="W57" s="339" t="str">
        <f t="shared" si="6"/>
        <v/>
      </c>
      <c r="X57" s="341" t="str">
        <f t="shared" si="7"/>
        <v/>
      </c>
      <c r="Y57" s="277"/>
      <c r="AR57" t="str">
        <f t="shared" si="9"/>
        <v/>
      </c>
      <c r="AS57" t="str">
        <f t="shared" si="10"/>
        <v/>
      </c>
    </row>
    <row r="58" spans="1:45">
      <c r="A58" s="294"/>
      <c r="B58" s="295"/>
      <c r="C58" s="296"/>
      <c r="D58" s="296"/>
      <c r="E58" s="296"/>
      <c r="F58" s="296"/>
      <c r="G58" s="297"/>
      <c r="H58" s="299"/>
      <c r="I58" s="298"/>
      <c r="J58" s="298"/>
      <c r="K58" s="299"/>
      <c r="L58" s="592"/>
      <c r="M58" s="593"/>
      <c r="N58" s="301"/>
      <c r="P58" s="193" t="str">
        <f>IF(R58 = "", "", COUNT(R$4:$R58))</f>
        <v/>
      </c>
      <c r="Q58" s="193" t="str">
        <f t="shared" si="0"/>
        <v/>
      </c>
      <c r="R58" s="194" t="str">
        <f t="shared" si="1"/>
        <v/>
      </c>
      <c r="S58" s="195" t="str">
        <f t="shared" si="3"/>
        <v/>
      </c>
      <c r="T58" s="196" t="str">
        <f t="shared" si="4"/>
        <v/>
      </c>
      <c r="U58" s="197" t="str">
        <f t="shared" si="5"/>
        <v/>
      </c>
      <c r="V58" s="198" t="str">
        <f t="shared" si="2"/>
        <v/>
      </c>
      <c r="W58" s="339" t="str">
        <f t="shared" si="6"/>
        <v/>
      </c>
      <c r="X58" s="341" t="str">
        <f t="shared" si="7"/>
        <v/>
      </c>
      <c r="Y58" s="277"/>
      <c r="AR58" t="str">
        <f t="shared" si="9"/>
        <v/>
      </c>
      <c r="AS58" t="str">
        <f t="shared" si="10"/>
        <v/>
      </c>
    </row>
    <row r="59" spans="1:45">
      <c r="A59" s="294"/>
      <c r="B59" s="295"/>
      <c r="C59" s="296"/>
      <c r="D59" s="296"/>
      <c r="E59" s="296"/>
      <c r="F59" s="296"/>
      <c r="G59" s="297"/>
      <c r="H59" s="299"/>
      <c r="I59" s="298"/>
      <c r="J59" s="298"/>
      <c r="K59" s="299"/>
      <c r="L59" s="592"/>
      <c r="M59" s="593"/>
      <c r="N59" s="301"/>
      <c r="P59" s="193" t="str">
        <f>IF(R59 = "", "", COUNT(R$4:$R59))</f>
        <v/>
      </c>
      <c r="Q59" s="193" t="str">
        <f t="shared" si="0"/>
        <v/>
      </c>
      <c r="R59" s="194" t="str">
        <f t="shared" si="1"/>
        <v/>
      </c>
      <c r="S59" s="195" t="str">
        <f t="shared" si="3"/>
        <v/>
      </c>
      <c r="T59" s="196" t="str">
        <f t="shared" si="4"/>
        <v/>
      </c>
      <c r="U59" s="197" t="str">
        <f t="shared" si="5"/>
        <v/>
      </c>
      <c r="V59" s="198" t="str">
        <f t="shared" si="2"/>
        <v/>
      </c>
      <c r="W59" s="339" t="str">
        <f t="shared" si="6"/>
        <v/>
      </c>
      <c r="X59" s="341" t="str">
        <f t="shared" si="7"/>
        <v/>
      </c>
      <c r="Y59" s="277"/>
      <c r="AR59" t="str">
        <f t="shared" si="9"/>
        <v/>
      </c>
      <c r="AS59" t="str">
        <f t="shared" si="10"/>
        <v/>
      </c>
    </row>
    <row r="60" spans="1:45">
      <c r="A60" s="294"/>
      <c r="B60" s="295"/>
      <c r="C60" s="296"/>
      <c r="D60" s="296"/>
      <c r="E60" s="296"/>
      <c r="F60" s="296"/>
      <c r="G60" s="297"/>
      <c r="H60" s="299"/>
      <c r="I60" s="298"/>
      <c r="J60" s="298"/>
      <c r="K60" s="299"/>
      <c r="L60" s="592"/>
      <c r="M60" s="593"/>
      <c r="N60" s="301"/>
      <c r="P60" s="193" t="str">
        <f>IF(R60 = "", "", COUNT(R$4:$R60))</f>
        <v/>
      </c>
      <c r="Q60" s="193" t="str">
        <f t="shared" si="0"/>
        <v/>
      </c>
      <c r="R60" s="194" t="str">
        <f t="shared" si="1"/>
        <v/>
      </c>
      <c r="S60" s="195" t="str">
        <f t="shared" si="3"/>
        <v/>
      </c>
      <c r="T60" s="196" t="str">
        <f t="shared" si="4"/>
        <v/>
      </c>
      <c r="U60" s="197" t="str">
        <f t="shared" si="5"/>
        <v/>
      </c>
      <c r="V60" s="198" t="str">
        <f t="shared" si="2"/>
        <v/>
      </c>
      <c r="W60" s="339" t="str">
        <f t="shared" si="6"/>
        <v/>
      </c>
      <c r="X60" s="341" t="str">
        <f t="shared" si="7"/>
        <v/>
      </c>
      <c r="Y60" s="277"/>
      <c r="AR60" t="str">
        <f t="shared" si="9"/>
        <v/>
      </c>
      <c r="AS60" t="str">
        <f t="shared" si="10"/>
        <v/>
      </c>
    </row>
    <row r="61" spans="1:45">
      <c r="A61" s="294"/>
      <c r="B61" s="295"/>
      <c r="C61" s="296"/>
      <c r="D61" s="296"/>
      <c r="E61" s="296"/>
      <c r="F61" s="296"/>
      <c r="G61" s="297"/>
      <c r="H61" s="299"/>
      <c r="I61" s="298"/>
      <c r="J61" s="298"/>
      <c r="K61" s="299"/>
      <c r="L61" s="592"/>
      <c r="M61" s="593"/>
      <c r="N61" s="301"/>
      <c r="P61" s="193" t="str">
        <f>IF(R61 = "", "", COUNT(R$4:$R61))</f>
        <v/>
      </c>
      <c r="Q61" s="193" t="str">
        <f t="shared" si="0"/>
        <v/>
      </c>
      <c r="R61" s="194" t="str">
        <f t="shared" si="1"/>
        <v/>
      </c>
      <c r="S61" s="195" t="str">
        <f t="shared" si="3"/>
        <v/>
      </c>
      <c r="T61" s="196" t="str">
        <f t="shared" si="4"/>
        <v/>
      </c>
      <c r="U61" s="197" t="str">
        <f t="shared" si="5"/>
        <v/>
      </c>
      <c r="V61" s="198" t="str">
        <f t="shared" si="2"/>
        <v/>
      </c>
      <c r="W61" s="339" t="str">
        <f t="shared" si="6"/>
        <v/>
      </c>
      <c r="X61" s="341" t="str">
        <f t="shared" si="7"/>
        <v/>
      </c>
      <c r="Y61" s="277"/>
      <c r="AR61" t="str">
        <f t="shared" si="9"/>
        <v/>
      </c>
      <c r="AS61" t="str">
        <f t="shared" si="10"/>
        <v/>
      </c>
    </row>
    <row r="62" spans="1:45">
      <c r="A62" s="294"/>
      <c r="B62" s="295"/>
      <c r="C62" s="296"/>
      <c r="D62" s="296"/>
      <c r="E62" s="296"/>
      <c r="F62" s="296"/>
      <c r="G62" s="297"/>
      <c r="H62" s="299"/>
      <c r="I62" s="298"/>
      <c r="J62" s="298"/>
      <c r="K62" s="299"/>
      <c r="L62" s="592"/>
      <c r="M62" s="593"/>
      <c r="N62" s="301"/>
      <c r="P62" s="193" t="str">
        <f>IF(R62 = "", "", COUNT(R$4:$R62))</f>
        <v/>
      </c>
      <c r="Q62" s="193" t="str">
        <f t="shared" si="0"/>
        <v/>
      </c>
      <c r="R62" s="194" t="str">
        <f t="shared" si="1"/>
        <v/>
      </c>
      <c r="S62" s="195" t="str">
        <f t="shared" si="3"/>
        <v/>
      </c>
      <c r="T62" s="196" t="str">
        <f t="shared" si="4"/>
        <v/>
      </c>
      <c r="U62" s="197" t="str">
        <f t="shared" si="5"/>
        <v/>
      </c>
      <c r="V62" s="198" t="str">
        <f t="shared" si="2"/>
        <v/>
      </c>
      <c r="W62" s="339" t="str">
        <f t="shared" si="6"/>
        <v/>
      </c>
      <c r="X62" s="341" t="str">
        <f t="shared" si="7"/>
        <v/>
      </c>
      <c r="Y62" s="277"/>
      <c r="AR62" t="str">
        <f t="shared" si="9"/>
        <v/>
      </c>
      <c r="AS62" t="str">
        <f t="shared" si="10"/>
        <v/>
      </c>
    </row>
    <row r="63" spans="1:45">
      <c r="A63" s="294"/>
      <c r="B63" s="295"/>
      <c r="C63" s="296"/>
      <c r="D63" s="296"/>
      <c r="E63" s="296"/>
      <c r="F63" s="296"/>
      <c r="G63" s="297"/>
      <c r="H63" s="299"/>
      <c r="I63" s="298"/>
      <c r="J63" s="298"/>
      <c r="K63" s="299"/>
      <c r="L63" s="592"/>
      <c r="M63" s="593"/>
      <c r="N63" s="301"/>
      <c r="P63" s="193" t="str">
        <f>IF(R63 = "", "", COUNT(R$4:$R63))</f>
        <v/>
      </c>
      <c r="Q63" s="193" t="str">
        <f t="shared" si="0"/>
        <v/>
      </c>
      <c r="R63" s="194" t="str">
        <f t="shared" si="1"/>
        <v/>
      </c>
      <c r="S63" s="195" t="str">
        <f t="shared" si="3"/>
        <v/>
      </c>
      <c r="T63" s="196" t="str">
        <f t="shared" si="4"/>
        <v/>
      </c>
      <c r="U63" s="197" t="str">
        <f t="shared" si="5"/>
        <v/>
      </c>
      <c r="V63" s="198" t="str">
        <f t="shared" si="2"/>
        <v/>
      </c>
      <c r="W63" s="339" t="str">
        <f t="shared" si="6"/>
        <v/>
      </c>
      <c r="X63" s="341" t="str">
        <f t="shared" si="7"/>
        <v/>
      </c>
      <c r="Y63" s="277"/>
      <c r="AR63" t="str">
        <f t="shared" si="9"/>
        <v/>
      </c>
      <c r="AS63" t="str">
        <f t="shared" si="10"/>
        <v/>
      </c>
    </row>
    <row r="64" spans="1:45">
      <c r="A64" s="294"/>
      <c r="B64" s="295"/>
      <c r="C64" s="296"/>
      <c r="D64" s="296"/>
      <c r="E64" s="296"/>
      <c r="F64" s="296"/>
      <c r="G64" s="297"/>
      <c r="H64" s="299"/>
      <c r="I64" s="298"/>
      <c r="J64" s="298"/>
      <c r="K64" s="299"/>
      <c r="L64" s="592"/>
      <c r="M64" s="593"/>
      <c r="N64" s="301"/>
      <c r="P64" s="193" t="str">
        <f>IF(R64 = "", "", COUNT(R$4:$R64))</f>
        <v/>
      </c>
      <c r="Q64" s="193" t="str">
        <f t="shared" si="0"/>
        <v/>
      </c>
      <c r="R64" s="194" t="str">
        <f t="shared" si="1"/>
        <v/>
      </c>
      <c r="S64" s="195" t="str">
        <f t="shared" si="3"/>
        <v/>
      </c>
      <c r="T64" s="196" t="str">
        <f t="shared" si="4"/>
        <v/>
      </c>
      <c r="U64" s="197" t="str">
        <f t="shared" si="5"/>
        <v/>
      </c>
      <c r="V64" s="198" t="str">
        <f t="shared" si="2"/>
        <v/>
      </c>
      <c r="W64" s="339" t="str">
        <f t="shared" si="6"/>
        <v/>
      </c>
      <c r="X64" s="341" t="str">
        <f t="shared" si="7"/>
        <v/>
      </c>
      <c r="Y64" s="277"/>
      <c r="AR64" t="str">
        <f t="shared" si="9"/>
        <v/>
      </c>
      <c r="AS64" t="str">
        <f t="shared" si="10"/>
        <v/>
      </c>
    </row>
    <row r="65" spans="1:45">
      <c r="A65" s="294"/>
      <c r="B65" s="295"/>
      <c r="C65" s="296"/>
      <c r="D65" s="296"/>
      <c r="E65" s="296"/>
      <c r="F65" s="296"/>
      <c r="G65" s="297"/>
      <c r="H65" s="299"/>
      <c r="I65" s="298"/>
      <c r="J65" s="298"/>
      <c r="K65" s="299"/>
      <c r="L65" s="592"/>
      <c r="M65" s="593"/>
      <c r="N65" s="301"/>
      <c r="P65" s="193" t="str">
        <f>IF(R65 = "", "", COUNT(R$4:$R65))</f>
        <v/>
      </c>
      <c r="Q65" s="193" t="str">
        <f t="shared" si="0"/>
        <v/>
      </c>
      <c r="R65" s="194" t="str">
        <f t="shared" si="1"/>
        <v/>
      </c>
      <c r="S65" s="195" t="str">
        <f t="shared" si="3"/>
        <v/>
      </c>
      <c r="T65" s="196" t="str">
        <f t="shared" si="4"/>
        <v/>
      </c>
      <c r="U65" s="197" t="str">
        <f t="shared" si="5"/>
        <v/>
      </c>
      <c r="V65" s="198" t="str">
        <f t="shared" si="2"/>
        <v/>
      </c>
      <c r="W65" s="339" t="str">
        <f t="shared" si="6"/>
        <v/>
      </c>
      <c r="X65" s="341" t="str">
        <f t="shared" si="7"/>
        <v/>
      </c>
      <c r="Y65" s="277"/>
      <c r="AR65" t="str">
        <f t="shared" si="9"/>
        <v/>
      </c>
      <c r="AS65" t="str">
        <f t="shared" si="10"/>
        <v/>
      </c>
    </row>
    <row r="66" spans="1:45">
      <c r="A66" s="294"/>
      <c r="B66" s="295"/>
      <c r="C66" s="296"/>
      <c r="D66" s="296"/>
      <c r="E66" s="296"/>
      <c r="F66" s="296"/>
      <c r="G66" s="297"/>
      <c r="H66" s="299"/>
      <c r="I66" s="298"/>
      <c r="J66" s="298"/>
      <c r="K66" s="299"/>
      <c r="L66" s="592"/>
      <c r="M66" s="593"/>
      <c r="N66" s="301"/>
      <c r="P66" s="193" t="str">
        <f>IF(R66 = "", "", COUNT(R$4:$R66))</f>
        <v/>
      </c>
      <c r="Q66" s="193" t="str">
        <f t="shared" si="0"/>
        <v/>
      </c>
      <c r="R66" s="194" t="str">
        <f t="shared" si="1"/>
        <v/>
      </c>
      <c r="S66" s="195" t="str">
        <f t="shared" si="3"/>
        <v/>
      </c>
      <c r="T66" s="196" t="str">
        <f t="shared" si="4"/>
        <v/>
      </c>
      <c r="U66" s="197" t="str">
        <f t="shared" si="5"/>
        <v/>
      </c>
      <c r="V66" s="198" t="str">
        <f t="shared" si="2"/>
        <v/>
      </c>
      <c r="W66" s="339" t="str">
        <f t="shared" si="6"/>
        <v/>
      </c>
      <c r="X66" s="341" t="str">
        <f t="shared" si="7"/>
        <v/>
      </c>
      <c r="Y66" s="277"/>
      <c r="AR66" t="str">
        <f t="shared" si="9"/>
        <v/>
      </c>
      <c r="AS66" t="str">
        <f t="shared" si="10"/>
        <v/>
      </c>
    </row>
    <row r="67" spans="1:45">
      <c r="A67" s="294"/>
      <c r="B67" s="295"/>
      <c r="C67" s="296"/>
      <c r="D67" s="296"/>
      <c r="E67" s="296"/>
      <c r="F67" s="296"/>
      <c r="G67" s="297"/>
      <c r="H67" s="299"/>
      <c r="I67" s="298"/>
      <c r="J67" s="298"/>
      <c r="K67" s="299"/>
      <c r="L67" s="592"/>
      <c r="M67" s="593"/>
      <c r="N67" s="301"/>
      <c r="P67" s="193" t="str">
        <f>IF(R67 = "", "", COUNT(R$4:$R67))</f>
        <v/>
      </c>
      <c r="Q67" s="193" t="str">
        <f t="shared" si="0"/>
        <v/>
      </c>
      <c r="R67" s="194" t="str">
        <f t="shared" si="1"/>
        <v/>
      </c>
      <c r="S67" s="195" t="str">
        <f t="shared" si="3"/>
        <v/>
      </c>
      <c r="T67" s="196" t="str">
        <f t="shared" si="4"/>
        <v/>
      </c>
      <c r="U67" s="197" t="str">
        <f t="shared" si="5"/>
        <v/>
      </c>
      <c r="V67" s="198" t="str">
        <f t="shared" si="2"/>
        <v/>
      </c>
      <c r="W67" s="339" t="str">
        <f t="shared" si="6"/>
        <v/>
      </c>
      <c r="X67" s="341" t="str">
        <f t="shared" si="7"/>
        <v/>
      </c>
      <c r="Y67" s="277"/>
      <c r="AR67" t="str">
        <f t="shared" si="9"/>
        <v/>
      </c>
      <c r="AS67" t="str">
        <f t="shared" si="10"/>
        <v/>
      </c>
    </row>
    <row r="68" spans="1:45">
      <c r="A68" s="294"/>
      <c r="B68" s="295"/>
      <c r="C68" s="296"/>
      <c r="D68" s="296"/>
      <c r="E68" s="296"/>
      <c r="F68" s="296"/>
      <c r="G68" s="297"/>
      <c r="H68" s="299"/>
      <c r="I68" s="298"/>
      <c r="J68" s="298"/>
      <c r="K68" s="299"/>
      <c r="L68" s="592"/>
      <c r="M68" s="593"/>
      <c r="N68" s="301"/>
      <c r="P68" s="193" t="str">
        <f>IF(R68 = "", "", COUNT(R$4:$R68))</f>
        <v/>
      </c>
      <c r="Q68" s="193" t="str">
        <f t="shared" ref="Q68:Q131" si="11">IF(C68 &gt; 0, YEAR(B68), "")</f>
        <v/>
      </c>
      <c r="R68" s="194" t="str">
        <f t="shared" ref="R68:R131" si="12">IF(A68="", "", IF(G68="",1,IF(G68="O",1,IF(G68="C",8.4,IF(G68="B",8.4,IF(G68="A",76.8,IF(G68="K",76.8,"ERR")))))))</f>
        <v/>
      </c>
      <c r="S68" s="195" t="str">
        <f t="shared" si="3"/>
        <v/>
      </c>
      <c r="T68" s="196" t="str">
        <f t="shared" si="4"/>
        <v/>
      </c>
      <c r="U68" s="197" t="str">
        <f t="shared" si="5"/>
        <v/>
      </c>
      <c r="V68" s="198" t="str">
        <f t="shared" ref="V68:V131" si="13">IF(IF(M68&lt;&gt;"",G68,"")=0, "O", IF(M68&lt;&gt;"",G68,""))</f>
        <v/>
      </c>
      <c r="W68" s="339" t="str">
        <f t="shared" si="6"/>
        <v/>
      </c>
      <c r="X68" s="341" t="str">
        <f t="shared" si="7"/>
        <v/>
      </c>
      <c r="Y68" s="277"/>
      <c r="AR68" t="str">
        <f t="shared" si="9"/>
        <v/>
      </c>
      <c r="AS68" t="str">
        <f t="shared" si="10"/>
        <v/>
      </c>
    </row>
    <row r="69" spans="1:45">
      <c r="A69" s="294"/>
      <c r="B69" s="295"/>
      <c r="C69" s="296"/>
      <c r="D69" s="296"/>
      <c r="E69" s="296"/>
      <c r="F69" s="296"/>
      <c r="G69" s="297"/>
      <c r="H69" s="299"/>
      <c r="I69" s="298"/>
      <c r="J69" s="298"/>
      <c r="K69" s="299"/>
      <c r="L69" s="592"/>
      <c r="M69" s="593"/>
      <c r="N69" s="301"/>
      <c r="P69" s="193" t="str">
        <f>IF(R69 = "", "", COUNT(R$4:$R69))</f>
        <v/>
      </c>
      <c r="Q69" s="193" t="str">
        <f t="shared" si="11"/>
        <v/>
      </c>
      <c r="R69" s="194" t="str">
        <f t="shared" si="12"/>
        <v/>
      </c>
      <c r="S69" s="195" t="str">
        <f t="shared" ref="S69:S132" si="14">IF(L69&lt;&gt;"",R69,"")</f>
        <v/>
      </c>
      <c r="T69" s="196" t="str">
        <f t="shared" ref="T69:T132" si="15">IF(IF(L69&lt;&gt;"",G69,"")=0, "O", IF(L69&lt;&gt;"",G69,""))</f>
        <v/>
      </c>
      <c r="U69" s="197" t="str">
        <f t="shared" ref="U69:U132" si="16">IF(M69&lt;&gt;"",R69,"")</f>
        <v/>
      </c>
      <c r="V69" s="198" t="str">
        <f t="shared" si="13"/>
        <v/>
      </c>
      <c r="W69" s="339" t="str">
        <f t="shared" ref="W69:W132" si="17">IF(N69&lt;&gt;"",R69,"")</f>
        <v/>
      </c>
      <c r="X69" s="341" t="str">
        <f t="shared" ref="X69:X132" si="18">IF(IF(N69&lt;&gt;"",G69,"")=0, "O", IF(N69&lt;&gt;"",G69,""))</f>
        <v/>
      </c>
      <c r="Y69" s="277"/>
      <c r="AR69" t="str">
        <f t="shared" ref="AR69:AR132" si="19">IF(P69&gt;0, P69, "")</f>
        <v/>
      </c>
      <c r="AS69" t="str">
        <f t="shared" ref="AS69:AS132" si="20">IF(OR(L69="Y",M69="Y",N69="Y"),"Y","")</f>
        <v/>
      </c>
    </row>
    <row r="70" spans="1:45">
      <c r="A70" s="294"/>
      <c r="B70" s="295"/>
      <c r="C70" s="296"/>
      <c r="D70" s="296"/>
      <c r="E70" s="296"/>
      <c r="F70" s="296"/>
      <c r="G70" s="297"/>
      <c r="H70" s="299"/>
      <c r="I70" s="298"/>
      <c r="J70" s="298"/>
      <c r="K70" s="299"/>
      <c r="L70" s="592"/>
      <c r="M70" s="593"/>
      <c r="N70" s="301"/>
      <c r="P70" s="193" t="str">
        <f>IF(R70 = "", "", COUNT(R$4:$R70))</f>
        <v/>
      </c>
      <c r="Q70" s="193" t="str">
        <f t="shared" si="11"/>
        <v/>
      </c>
      <c r="R70" s="194" t="str">
        <f t="shared" si="12"/>
        <v/>
      </c>
      <c r="S70" s="195" t="str">
        <f t="shared" si="14"/>
        <v/>
      </c>
      <c r="T70" s="196" t="str">
        <f t="shared" si="15"/>
        <v/>
      </c>
      <c r="U70" s="197" t="str">
        <f t="shared" si="16"/>
        <v/>
      </c>
      <c r="V70" s="198" t="str">
        <f t="shared" si="13"/>
        <v/>
      </c>
      <c r="W70" s="339" t="str">
        <f t="shared" si="17"/>
        <v/>
      </c>
      <c r="X70" s="341" t="str">
        <f t="shared" si="18"/>
        <v/>
      </c>
      <c r="Y70" s="277"/>
      <c r="AR70" t="str">
        <f t="shared" si="19"/>
        <v/>
      </c>
      <c r="AS70" t="str">
        <f t="shared" si="20"/>
        <v/>
      </c>
    </row>
    <row r="71" spans="1:45">
      <c r="A71" s="294"/>
      <c r="B71" s="295"/>
      <c r="C71" s="296"/>
      <c r="D71" s="296"/>
      <c r="E71" s="296"/>
      <c r="F71" s="296"/>
      <c r="G71" s="297"/>
      <c r="H71" s="299"/>
      <c r="I71" s="298"/>
      <c r="J71" s="298"/>
      <c r="K71" s="299"/>
      <c r="L71" s="592"/>
      <c r="M71" s="593"/>
      <c r="N71" s="301"/>
      <c r="P71" s="193" t="str">
        <f>IF(R71 = "", "", COUNT(R$4:$R71))</f>
        <v/>
      </c>
      <c r="Q71" s="193" t="str">
        <f t="shared" si="11"/>
        <v/>
      </c>
      <c r="R71" s="194" t="str">
        <f t="shared" si="12"/>
        <v/>
      </c>
      <c r="S71" s="195" t="str">
        <f t="shared" si="14"/>
        <v/>
      </c>
      <c r="T71" s="196" t="str">
        <f t="shared" si="15"/>
        <v/>
      </c>
      <c r="U71" s="197" t="str">
        <f t="shared" si="16"/>
        <v/>
      </c>
      <c r="V71" s="198" t="str">
        <f t="shared" si="13"/>
        <v/>
      </c>
      <c r="W71" s="339" t="str">
        <f t="shared" si="17"/>
        <v/>
      </c>
      <c r="X71" s="341" t="str">
        <f t="shared" si="18"/>
        <v/>
      </c>
      <c r="Y71" s="277"/>
      <c r="AR71" t="str">
        <f t="shared" si="19"/>
        <v/>
      </c>
      <c r="AS71" t="str">
        <f t="shared" si="20"/>
        <v/>
      </c>
    </row>
    <row r="72" spans="1:45">
      <c r="A72" s="294"/>
      <c r="B72" s="295"/>
      <c r="C72" s="296"/>
      <c r="D72" s="296"/>
      <c r="E72" s="296"/>
      <c r="F72" s="296"/>
      <c r="G72" s="297"/>
      <c r="H72" s="299"/>
      <c r="I72" s="298"/>
      <c r="J72" s="298"/>
      <c r="K72" s="299"/>
      <c r="L72" s="592"/>
      <c r="M72" s="593"/>
      <c r="N72" s="301"/>
      <c r="P72" s="193" t="str">
        <f>IF(R72 = "", "", COUNT(R$4:$R72))</f>
        <v/>
      </c>
      <c r="Q72" s="193" t="str">
        <f t="shared" si="11"/>
        <v/>
      </c>
      <c r="R72" s="194" t="str">
        <f t="shared" si="12"/>
        <v/>
      </c>
      <c r="S72" s="195" t="str">
        <f t="shared" si="14"/>
        <v/>
      </c>
      <c r="T72" s="196" t="str">
        <f t="shared" si="15"/>
        <v/>
      </c>
      <c r="U72" s="197" t="str">
        <f t="shared" si="16"/>
        <v/>
      </c>
      <c r="V72" s="198" t="str">
        <f t="shared" si="13"/>
        <v/>
      </c>
      <c r="W72" s="339" t="str">
        <f t="shared" si="17"/>
        <v/>
      </c>
      <c r="X72" s="341" t="str">
        <f t="shared" si="18"/>
        <v/>
      </c>
      <c r="Y72" s="277"/>
      <c r="AR72" t="str">
        <f t="shared" si="19"/>
        <v/>
      </c>
      <c r="AS72" t="str">
        <f t="shared" si="20"/>
        <v/>
      </c>
    </row>
    <row r="73" spans="1:45">
      <c r="A73" s="294"/>
      <c r="B73" s="295"/>
      <c r="C73" s="296"/>
      <c r="D73" s="296"/>
      <c r="E73" s="296"/>
      <c r="F73" s="296"/>
      <c r="G73" s="297"/>
      <c r="H73" s="299"/>
      <c r="I73" s="298"/>
      <c r="J73" s="298"/>
      <c r="K73" s="299"/>
      <c r="L73" s="592"/>
      <c r="M73" s="593"/>
      <c r="N73" s="301"/>
      <c r="P73" s="193" t="str">
        <f>IF(R73 = "", "", COUNT(R$4:$R73))</f>
        <v/>
      </c>
      <c r="Q73" s="193" t="str">
        <f t="shared" si="11"/>
        <v/>
      </c>
      <c r="R73" s="194" t="str">
        <f t="shared" si="12"/>
        <v/>
      </c>
      <c r="S73" s="195" t="str">
        <f t="shared" si="14"/>
        <v/>
      </c>
      <c r="T73" s="196" t="str">
        <f t="shared" si="15"/>
        <v/>
      </c>
      <c r="U73" s="197" t="str">
        <f t="shared" si="16"/>
        <v/>
      </c>
      <c r="V73" s="198" t="str">
        <f t="shared" si="13"/>
        <v/>
      </c>
      <c r="W73" s="339" t="str">
        <f t="shared" si="17"/>
        <v/>
      </c>
      <c r="X73" s="341" t="str">
        <f t="shared" si="18"/>
        <v/>
      </c>
      <c r="Y73" s="277"/>
      <c r="AR73" t="str">
        <f t="shared" si="19"/>
        <v/>
      </c>
      <c r="AS73" t="str">
        <f t="shared" si="20"/>
        <v/>
      </c>
    </row>
    <row r="74" spans="1:45">
      <c r="A74" s="294"/>
      <c r="B74" s="295"/>
      <c r="C74" s="296"/>
      <c r="D74" s="296"/>
      <c r="E74" s="296"/>
      <c r="F74" s="296"/>
      <c r="G74" s="297"/>
      <c r="H74" s="299"/>
      <c r="I74" s="298"/>
      <c r="J74" s="298"/>
      <c r="K74" s="299"/>
      <c r="L74" s="592"/>
      <c r="M74" s="593"/>
      <c r="N74" s="301"/>
      <c r="P74" s="193" t="str">
        <f>IF(R74 = "", "", COUNT(R$4:$R74))</f>
        <v/>
      </c>
      <c r="Q74" s="193" t="str">
        <f t="shared" si="11"/>
        <v/>
      </c>
      <c r="R74" s="194" t="str">
        <f t="shared" si="12"/>
        <v/>
      </c>
      <c r="S74" s="195" t="str">
        <f t="shared" si="14"/>
        <v/>
      </c>
      <c r="T74" s="196" t="str">
        <f t="shared" si="15"/>
        <v/>
      </c>
      <c r="U74" s="197" t="str">
        <f t="shared" si="16"/>
        <v/>
      </c>
      <c r="V74" s="198" t="str">
        <f t="shared" si="13"/>
        <v/>
      </c>
      <c r="W74" s="339" t="str">
        <f t="shared" si="17"/>
        <v/>
      </c>
      <c r="X74" s="341" t="str">
        <f t="shared" si="18"/>
        <v/>
      </c>
      <c r="Y74" s="277"/>
      <c r="AR74" t="str">
        <f t="shared" si="19"/>
        <v/>
      </c>
      <c r="AS74" t="str">
        <f t="shared" si="20"/>
        <v/>
      </c>
    </row>
    <row r="75" spans="1:45">
      <c r="A75" s="294"/>
      <c r="B75" s="295"/>
      <c r="C75" s="296"/>
      <c r="D75" s="296"/>
      <c r="E75" s="296"/>
      <c r="F75" s="296"/>
      <c r="G75" s="297"/>
      <c r="H75" s="299"/>
      <c r="I75" s="298"/>
      <c r="J75" s="298"/>
      <c r="K75" s="299"/>
      <c r="L75" s="592"/>
      <c r="M75" s="593"/>
      <c r="N75" s="301"/>
      <c r="P75" s="193" t="str">
        <f>IF(R75 = "", "", COUNT(R$4:$R75))</f>
        <v/>
      </c>
      <c r="Q75" s="193" t="str">
        <f t="shared" si="11"/>
        <v/>
      </c>
      <c r="R75" s="194" t="str">
        <f t="shared" si="12"/>
        <v/>
      </c>
      <c r="S75" s="195" t="str">
        <f t="shared" si="14"/>
        <v/>
      </c>
      <c r="T75" s="196" t="str">
        <f t="shared" si="15"/>
        <v/>
      </c>
      <c r="U75" s="197" t="str">
        <f t="shared" si="16"/>
        <v/>
      </c>
      <c r="V75" s="198" t="str">
        <f t="shared" si="13"/>
        <v/>
      </c>
      <c r="W75" s="339" t="str">
        <f t="shared" si="17"/>
        <v/>
      </c>
      <c r="X75" s="341" t="str">
        <f t="shared" si="18"/>
        <v/>
      </c>
      <c r="Y75" s="277"/>
      <c r="AR75" t="str">
        <f t="shared" si="19"/>
        <v/>
      </c>
      <c r="AS75" t="str">
        <f t="shared" si="20"/>
        <v/>
      </c>
    </row>
    <row r="76" spans="1:45">
      <c r="A76" s="294"/>
      <c r="B76" s="295"/>
      <c r="C76" s="296"/>
      <c r="D76" s="296"/>
      <c r="E76" s="296"/>
      <c r="F76" s="296"/>
      <c r="G76" s="297"/>
      <c r="H76" s="299"/>
      <c r="I76" s="298"/>
      <c r="J76" s="298"/>
      <c r="K76" s="299"/>
      <c r="L76" s="592"/>
      <c r="M76" s="593"/>
      <c r="N76" s="301"/>
      <c r="P76" s="193" t="str">
        <f>IF(R76 = "", "", COUNT(R$4:$R76))</f>
        <v/>
      </c>
      <c r="Q76" s="193" t="str">
        <f t="shared" si="11"/>
        <v/>
      </c>
      <c r="R76" s="194" t="str">
        <f t="shared" si="12"/>
        <v/>
      </c>
      <c r="S76" s="195" t="str">
        <f t="shared" si="14"/>
        <v/>
      </c>
      <c r="T76" s="196" t="str">
        <f t="shared" si="15"/>
        <v/>
      </c>
      <c r="U76" s="197" t="str">
        <f t="shared" si="16"/>
        <v/>
      </c>
      <c r="V76" s="198" t="str">
        <f t="shared" si="13"/>
        <v/>
      </c>
      <c r="W76" s="339" t="str">
        <f t="shared" si="17"/>
        <v/>
      </c>
      <c r="X76" s="341" t="str">
        <f t="shared" si="18"/>
        <v/>
      </c>
      <c r="Y76" s="277"/>
      <c r="AR76" t="str">
        <f t="shared" si="19"/>
        <v/>
      </c>
      <c r="AS76" t="str">
        <f t="shared" si="20"/>
        <v/>
      </c>
    </row>
    <row r="77" spans="1:45">
      <c r="A77" s="294"/>
      <c r="B77" s="295"/>
      <c r="C77" s="296"/>
      <c r="D77" s="296"/>
      <c r="E77" s="296"/>
      <c r="F77" s="296"/>
      <c r="G77" s="297"/>
      <c r="H77" s="299"/>
      <c r="I77" s="298"/>
      <c r="J77" s="298"/>
      <c r="K77" s="299"/>
      <c r="L77" s="592"/>
      <c r="M77" s="593"/>
      <c r="N77" s="301"/>
      <c r="P77" s="193" t="str">
        <f>IF(R77 = "", "", COUNT(R$4:$R77))</f>
        <v/>
      </c>
      <c r="Q77" s="193" t="str">
        <f t="shared" si="11"/>
        <v/>
      </c>
      <c r="R77" s="194" t="str">
        <f t="shared" si="12"/>
        <v/>
      </c>
      <c r="S77" s="195" t="str">
        <f t="shared" si="14"/>
        <v/>
      </c>
      <c r="T77" s="196" t="str">
        <f t="shared" si="15"/>
        <v/>
      </c>
      <c r="U77" s="197" t="str">
        <f t="shared" si="16"/>
        <v/>
      </c>
      <c r="V77" s="198" t="str">
        <f t="shared" si="13"/>
        <v/>
      </c>
      <c r="W77" s="339" t="str">
        <f t="shared" si="17"/>
        <v/>
      </c>
      <c r="X77" s="341" t="str">
        <f t="shared" si="18"/>
        <v/>
      </c>
      <c r="Y77" s="277"/>
      <c r="AR77" t="str">
        <f t="shared" si="19"/>
        <v/>
      </c>
      <c r="AS77" t="str">
        <f t="shared" si="20"/>
        <v/>
      </c>
    </row>
    <row r="78" spans="1:45">
      <c r="A78" s="294"/>
      <c r="B78" s="295"/>
      <c r="C78" s="296"/>
      <c r="D78" s="296"/>
      <c r="E78" s="296"/>
      <c r="F78" s="296"/>
      <c r="G78" s="297"/>
      <c r="H78" s="299"/>
      <c r="I78" s="298"/>
      <c r="J78" s="298"/>
      <c r="K78" s="299"/>
      <c r="L78" s="304"/>
      <c r="M78" s="300"/>
      <c r="N78" s="301"/>
      <c r="P78" s="193" t="str">
        <f>IF(R78 = "", "", COUNT(R$4:$R78))</f>
        <v/>
      </c>
      <c r="Q78" s="193" t="str">
        <f t="shared" si="11"/>
        <v/>
      </c>
      <c r="R78" s="194" t="str">
        <f t="shared" si="12"/>
        <v/>
      </c>
      <c r="S78" s="195" t="str">
        <f t="shared" si="14"/>
        <v/>
      </c>
      <c r="T78" s="196" t="str">
        <f t="shared" si="15"/>
        <v/>
      </c>
      <c r="U78" s="197" t="str">
        <f t="shared" si="16"/>
        <v/>
      </c>
      <c r="V78" s="198" t="str">
        <f t="shared" si="13"/>
        <v/>
      </c>
      <c r="W78" s="339" t="str">
        <f t="shared" si="17"/>
        <v/>
      </c>
      <c r="X78" s="341" t="str">
        <f t="shared" si="18"/>
        <v/>
      </c>
      <c r="Y78" s="277"/>
      <c r="AR78" t="str">
        <f t="shared" si="19"/>
        <v/>
      </c>
      <c r="AS78" t="str">
        <f t="shared" si="20"/>
        <v/>
      </c>
    </row>
    <row r="79" spans="1:45">
      <c r="A79" s="294"/>
      <c r="B79" s="295"/>
      <c r="C79" s="296"/>
      <c r="D79" s="296"/>
      <c r="E79" s="296"/>
      <c r="F79" s="296"/>
      <c r="G79" s="297"/>
      <c r="H79" s="299"/>
      <c r="I79" s="298"/>
      <c r="J79" s="298"/>
      <c r="K79" s="299"/>
      <c r="L79" s="304"/>
      <c r="M79" s="300"/>
      <c r="N79" s="301"/>
      <c r="P79" s="193" t="str">
        <f>IF(R79 = "", "", COUNT(R$4:$R79))</f>
        <v/>
      </c>
      <c r="Q79" s="193" t="str">
        <f t="shared" si="11"/>
        <v/>
      </c>
      <c r="R79" s="194" t="str">
        <f t="shared" si="12"/>
        <v/>
      </c>
      <c r="S79" s="195" t="str">
        <f t="shared" si="14"/>
        <v/>
      </c>
      <c r="T79" s="196" t="str">
        <f t="shared" si="15"/>
        <v/>
      </c>
      <c r="U79" s="197" t="str">
        <f t="shared" si="16"/>
        <v/>
      </c>
      <c r="V79" s="198" t="str">
        <f t="shared" si="13"/>
        <v/>
      </c>
      <c r="W79" s="339" t="str">
        <f t="shared" si="17"/>
        <v/>
      </c>
      <c r="X79" s="341" t="str">
        <f t="shared" si="18"/>
        <v/>
      </c>
      <c r="Y79" s="277"/>
      <c r="AR79" t="str">
        <f t="shared" si="19"/>
        <v/>
      </c>
      <c r="AS79" t="str">
        <f t="shared" si="20"/>
        <v/>
      </c>
    </row>
    <row r="80" spans="1:45">
      <c r="A80" s="294"/>
      <c r="B80" s="295"/>
      <c r="C80" s="296"/>
      <c r="D80" s="296"/>
      <c r="E80" s="296"/>
      <c r="F80" s="296"/>
      <c r="G80" s="297"/>
      <c r="H80" s="303"/>
      <c r="I80" s="298"/>
      <c r="J80" s="298"/>
      <c r="K80" s="299"/>
      <c r="L80" s="304"/>
      <c r="M80" s="300"/>
      <c r="N80" s="301"/>
      <c r="P80" s="193" t="str">
        <f>IF(R80 = "", "", COUNT(R$4:$R80))</f>
        <v/>
      </c>
      <c r="Q80" s="193" t="str">
        <f t="shared" si="11"/>
        <v/>
      </c>
      <c r="R80" s="194" t="str">
        <f t="shared" si="12"/>
        <v/>
      </c>
      <c r="S80" s="195" t="str">
        <f t="shared" si="14"/>
        <v/>
      </c>
      <c r="T80" s="196" t="str">
        <f t="shared" si="15"/>
        <v/>
      </c>
      <c r="U80" s="197" t="str">
        <f t="shared" si="16"/>
        <v/>
      </c>
      <c r="V80" s="198" t="str">
        <f t="shared" si="13"/>
        <v/>
      </c>
      <c r="W80" s="339" t="str">
        <f t="shared" si="17"/>
        <v/>
      </c>
      <c r="X80" s="341" t="str">
        <f t="shared" si="18"/>
        <v/>
      </c>
      <c r="Y80" s="277"/>
      <c r="AR80" t="str">
        <f t="shared" si="19"/>
        <v/>
      </c>
      <c r="AS80" t="str">
        <f t="shared" si="20"/>
        <v/>
      </c>
    </row>
    <row r="81" spans="1:45">
      <c r="A81" s="294"/>
      <c r="B81" s="295"/>
      <c r="C81" s="296"/>
      <c r="D81" s="296"/>
      <c r="E81" s="296"/>
      <c r="F81" s="296"/>
      <c r="G81" s="297"/>
      <c r="H81" s="303"/>
      <c r="I81" s="298"/>
      <c r="J81" s="298"/>
      <c r="K81" s="299"/>
      <c r="L81" s="304"/>
      <c r="M81" s="300"/>
      <c r="N81" s="301"/>
      <c r="P81" s="193" t="str">
        <f>IF(R81 = "", "", COUNT(R$4:$R81))</f>
        <v/>
      </c>
      <c r="Q81" s="193" t="str">
        <f t="shared" si="11"/>
        <v/>
      </c>
      <c r="R81" s="194" t="str">
        <f t="shared" si="12"/>
        <v/>
      </c>
      <c r="S81" s="195" t="str">
        <f t="shared" si="14"/>
        <v/>
      </c>
      <c r="T81" s="196" t="str">
        <f t="shared" si="15"/>
        <v/>
      </c>
      <c r="U81" s="197" t="str">
        <f t="shared" si="16"/>
        <v/>
      </c>
      <c r="V81" s="198" t="str">
        <f t="shared" si="13"/>
        <v/>
      </c>
      <c r="W81" s="339" t="str">
        <f t="shared" si="17"/>
        <v/>
      </c>
      <c r="X81" s="341" t="str">
        <f t="shared" si="18"/>
        <v/>
      </c>
      <c r="Y81" s="277"/>
      <c r="AR81" t="str">
        <f t="shared" si="19"/>
        <v/>
      </c>
      <c r="AS81" t="str">
        <f t="shared" si="20"/>
        <v/>
      </c>
    </row>
    <row r="82" spans="1:45">
      <c r="A82" s="294"/>
      <c r="B82" s="295"/>
      <c r="C82" s="296"/>
      <c r="D82" s="296"/>
      <c r="E82" s="296"/>
      <c r="F82" s="296"/>
      <c r="G82" s="297"/>
      <c r="H82" s="303"/>
      <c r="I82" s="298"/>
      <c r="J82" s="298"/>
      <c r="K82" s="299"/>
      <c r="L82" s="304"/>
      <c r="M82" s="300"/>
      <c r="N82" s="301"/>
      <c r="P82" s="193" t="str">
        <f>IF(R82 = "", "", COUNT(R$4:$R82))</f>
        <v/>
      </c>
      <c r="Q82" s="193" t="str">
        <f t="shared" si="11"/>
        <v/>
      </c>
      <c r="R82" s="194" t="str">
        <f t="shared" si="12"/>
        <v/>
      </c>
      <c r="S82" s="195" t="str">
        <f t="shared" si="14"/>
        <v/>
      </c>
      <c r="T82" s="196" t="str">
        <f t="shared" si="15"/>
        <v/>
      </c>
      <c r="U82" s="197" t="str">
        <f t="shared" si="16"/>
        <v/>
      </c>
      <c r="V82" s="198" t="str">
        <f t="shared" si="13"/>
        <v/>
      </c>
      <c r="W82" s="339" t="str">
        <f t="shared" si="17"/>
        <v/>
      </c>
      <c r="X82" s="341" t="str">
        <f t="shared" si="18"/>
        <v/>
      </c>
      <c r="Y82" s="277"/>
      <c r="AR82" t="str">
        <f t="shared" si="19"/>
        <v/>
      </c>
      <c r="AS82" t="str">
        <f t="shared" si="20"/>
        <v/>
      </c>
    </row>
    <row r="83" spans="1:45">
      <c r="A83" s="294"/>
      <c r="B83" s="295"/>
      <c r="C83" s="296"/>
      <c r="D83" s="296"/>
      <c r="E83" s="296"/>
      <c r="F83" s="296"/>
      <c r="G83" s="297"/>
      <c r="H83" s="303"/>
      <c r="I83" s="298"/>
      <c r="J83" s="298"/>
      <c r="K83" s="299"/>
      <c r="L83" s="304"/>
      <c r="M83" s="300"/>
      <c r="N83" s="301"/>
      <c r="P83" s="193" t="str">
        <f>IF(R83 = "", "", COUNT(R$4:$R83))</f>
        <v/>
      </c>
      <c r="Q83" s="193" t="str">
        <f t="shared" si="11"/>
        <v/>
      </c>
      <c r="R83" s="194" t="str">
        <f t="shared" si="12"/>
        <v/>
      </c>
      <c r="S83" s="195" t="str">
        <f t="shared" si="14"/>
        <v/>
      </c>
      <c r="T83" s="196" t="str">
        <f t="shared" si="15"/>
        <v/>
      </c>
      <c r="U83" s="197" t="str">
        <f t="shared" si="16"/>
        <v/>
      </c>
      <c r="V83" s="198" t="str">
        <f t="shared" si="13"/>
        <v/>
      </c>
      <c r="W83" s="339" t="str">
        <f t="shared" si="17"/>
        <v/>
      </c>
      <c r="X83" s="341" t="str">
        <f t="shared" si="18"/>
        <v/>
      </c>
      <c r="Y83" s="277"/>
      <c r="AR83" t="str">
        <f t="shared" si="19"/>
        <v/>
      </c>
      <c r="AS83" t="str">
        <f t="shared" si="20"/>
        <v/>
      </c>
    </row>
    <row r="84" spans="1:45">
      <c r="A84" s="294"/>
      <c r="B84" s="295"/>
      <c r="C84" s="296"/>
      <c r="D84" s="296"/>
      <c r="E84" s="296"/>
      <c r="F84" s="296"/>
      <c r="G84" s="297"/>
      <c r="H84" s="303"/>
      <c r="I84" s="298"/>
      <c r="J84" s="298"/>
      <c r="K84" s="299"/>
      <c r="L84" s="304"/>
      <c r="M84" s="300"/>
      <c r="N84" s="301"/>
      <c r="P84" s="193" t="str">
        <f>IF(R84 = "", "", COUNT(R$4:$R84))</f>
        <v/>
      </c>
      <c r="Q84" s="193" t="str">
        <f t="shared" si="11"/>
        <v/>
      </c>
      <c r="R84" s="194" t="str">
        <f t="shared" si="12"/>
        <v/>
      </c>
      <c r="S84" s="195" t="str">
        <f t="shared" si="14"/>
        <v/>
      </c>
      <c r="T84" s="196" t="str">
        <f t="shared" si="15"/>
        <v/>
      </c>
      <c r="U84" s="197" t="str">
        <f t="shared" si="16"/>
        <v/>
      </c>
      <c r="V84" s="198" t="str">
        <f t="shared" si="13"/>
        <v/>
      </c>
      <c r="W84" s="339" t="str">
        <f t="shared" si="17"/>
        <v/>
      </c>
      <c r="X84" s="341" t="str">
        <f t="shared" si="18"/>
        <v/>
      </c>
      <c r="Y84" s="277"/>
      <c r="AR84" t="str">
        <f t="shared" si="19"/>
        <v/>
      </c>
      <c r="AS84" t="str">
        <f t="shared" si="20"/>
        <v/>
      </c>
    </row>
    <row r="85" spans="1:45">
      <c r="A85" s="294"/>
      <c r="B85" s="295"/>
      <c r="C85" s="296"/>
      <c r="D85" s="296"/>
      <c r="E85" s="296"/>
      <c r="F85" s="296"/>
      <c r="G85" s="297"/>
      <c r="H85" s="303"/>
      <c r="I85" s="298"/>
      <c r="J85" s="298"/>
      <c r="K85" s="299"/>
      <c r="L85" s="304"/>
      <c r="M85" s="300"/>
      <c r="N85" s="301"/>
      <c r="P85" s="193" t="str">
        <f>IF(R85 = "", "", COUNT(R$4:$R85))</f>
        <v/>
      </c>
      <c r="Q85" s="193" t="str">
        <f t="shared" si="11"/>
        <v/>
      </c>
      <c r="R85" s="194" t="str">
        <f t="shared" si="12"/>
        <v/>
      </c>
      <c r="S85" s="195" t="str">
        <f t="shared" si="14"/>
        <v/>
      </c>
      <c r="T85" s="196" t="str">
        <f t="shared" si="15"/>
        <v/>
      </c>
      <c r="U85" s="197" t="str">
        <f t="shared" si="16"/>
        <v/>
      </c>
      <c r="V85" s="198" t="str">
        <f t="shared" si="13"/>
        <v/>
      </c>
      <c r="W85" s="339" t="str">
        <f t="shared" si="17"/>
        <v/>
      </c>
      <c r="X85" s="341" t="str">
        <f t="shared" si="18"/>
        <v/>
      </c>
      <c r="Y85" s="277"/>
      <c r="AR85" t="str">
        <f t="shared" si="19"/>
        <v/>
      </c>
      <c r="AS85" t="str">
        <f t="shared" si="20"/>
        <v/>
      </c>
    </row>
    <row r="86" spans="1:45">
      <c r="A86" s="294"/>
      <c r="B86" s="295"/>
      <c r="C86" s="296"/>
      <c r="D86" s="296"/>
      <c r="E86" s="296"/>
      <c r="F86" s="296"/>
      <c r="G86" s="297"/>
      <c r="H86" s="303"/>
      <c r="I86" s="298"/>
      <c r="J86" s="298"/>
      <c r="K86" s="299"/>
      <c r="L86" s="304"/>
      <c r="M86" s="300"/>
      <c r="N86" s="301"/>
      <c r="P86" s="193" t="str">
        <f>IF(R86 = "", "", COUNT(R$4:$R86))</f>
        <v/>
      </c>
      <c r="Q86" s="193" t="str">
        <f t="shared" si="11"/>
        <v/>
      </c>
      <c r="R86" s="194" t="str">
        <f t="shared" si="12"/>
        <v/>
      </c>
      <c r="S86" s="195" t="str">
        <f t="shared" si="14"/>
        <v/>
      </c>
      <c r="T86" s="196" t="str">
        <f t="shared" si="15"/>
        <v/>
      </c>
      <c r="U86" s="197" t="str">
        <f t="shared" si="16"/>
        <v/>
      </c>
      <c r="V86" s="198" t="str">
        <f t="shared" si="13"/>
        <v/>
      </c>
      <c r="W86" s="339" t="str">
        <f t="shared" si="17"/>
        <v/>
      </c>
      <c r="X86" s="341" t="str">
        <f t="shared" si="18"/>
        <v/>
      </c>
      <c r="Y86" s="277"/>
      <c r="AR86" t="str">
        <f t="shared" si="19"/>
        <v/>
      </c>
      <c r="AS86" t="str">
        <f t="shared" si="20"/>
        <v/>
      </c>
    </row>
    <row r="87" spans="1:45">
      <c r="A87" s="294"/>
      <c r="B87" s="295"/>
      <c r="C87" s="296"/>
      <c r="D87" s="296"/>
      <c r="E87" s="296"/>
      <c r="F87" s="296"/>
      <c r="G87" s="297"/>
      <c r="H87" s="303"/>
      <c r="I87" s="298"/>
      <c r="J87" s="298"/>
      <c r="K87" s="299"/>
      <c r="L87" s="304"/>
      <c r="M87" s="300"/>
      <c r="N87" s="301"/>
      <c r="P87" s="193" t="str">
        <f>IF(R87 = "", "", COUNT(R$4:$R87))</f>
        <v/>
      </c>
      <c r="Q87" s="193" t="str">
        <f t="shared" si="11"/>
        <v/>
      </c>
      <c r="R87" s="194" t="str">
        <f t="shared" si="12"/>
        <v/>
      </c>
      <c r="S87" s="195" t="str">
        <f t="shared" si="14"/>
        <v/>
      </c>
      <c r="T87" s="196" t="str">
        <f t="shared" si="15"/>
        <v/>
      </c>
      <c r="U87" s="197" t="str">
        <f t="shared" si="16"/>
        <v/>
      </c>
      <c r="V87" s="198" t="str">
        <f t="shared" si="13"/>
        <v/>
      </c>
      <c r="W87" s="339" t="str">
        <f t="shared" si="17"/>
        <v/>
      </c>
      <c r="X87" s="341" t="str">
        <f t="shared" si="18"/>
        <v/>
      </c>
      <c r="Y87" s="277"/>
      <c r="AR87" t="str">
        <f t="shared" si="19"/>
        <v/>
      </c>
      <c r="AS87" t="str">
        <f t="shared" si="20"/>
        <v/>
      </c>
    </row>
    <row r="88" spans="1:45">
      <c r="A88" s="294"/>
      <c r="B88" s="295"/>
      <c r="C88" s="296"/>
      <c r="D88" s="296"/>
      <c r="E88" s="296"/>
      <c r="F88" s="296"/>
      <c r="G88" s="297"/>
      <c r="H88" s="303"/>
      <c r="I88" s="298"/>
      <c r="J88" s="298"/>
      <c r="K88" s="299"/>
      <c r="L88" s="304"/>
      <c r="M88" s="300"/>
      <c r="N88" s="301"/>
      <c r="P88" s="193" t="str">
        <f>IF(R88 = "", "", COUNT(R$4:$R88))</f>
        <v/>
      </c>
      <c r="Q88" s="193" t="str">
        <f t="shared" si="11"/>
        <v/>
      </c>
      <c r="R88" s="194" t="str">
        <f t="shared" si="12"/>
        <v/>
      </c>
      <c r="S88" s="195" t="str">
        <f t="shared" si="14"/>
        <v/>
      </c>
      <c r="T88" s="196" t="str">
        <f t="shared" si="15"/>
        <v/>
      </c>
      <c r="U88" s="197" t="str">
        <f t="shared" si="16"/>
        <v/>
      </c>
      <c r="V88" s="198" t="str">
        <f t="shared" si="13"/>
        <v/>
      </c>
      <c r="W88" s="339" t="str">
        <f t="shared" si="17"/>
        <v/>
      </c>
      <c r="X88" s="341" t="str">
        <f t="shared" si="18"/>
        <v/>
      </c>
      <c r="Y88" s="277"/>
      <c r="AR88" t="str">
        <f t="shared" si="19"/>
        <v/>
      </c>
      <c r="AS88" t="str">
        <f t="shared" si="20"/>
        <v/>
      </c>
    </row>
    <row r="89" spans="1:45">
      <c r="A89" s="294"/>
      <c r="B89" s="295"/>
      <c r="C89" s="296"/>
      <c r="D89" s="296"/>
      <c r="E89" s="296"/>
      <c r="F89" s="296"/>
      <c r="G89" s="297"/>
      <c r="H89" s="303"/>
      <c r="I89" s="298"/>
      <c r="J89" s="298"/>
      <c r="K89" s="299"/>
      <c r="L89" s="304"/>
      <c r="M89" s="300"/>
      <c r="N89" s="301"/>
      <c r="P89" s="193" t="str">
        <f>IF(R89 = "", "", COUNT(R$4:$R89))</f>
        <v/>
      </c>
      <c r="Q89" s="193" t="str">
        <f t="shared" si="11"/>
        <v/>
      </c>
      <c r="R89" s="194" t="str">
        <f t="shared" si="12"/>
        <v/>
      </c>
      <c r="S89" s="195" t="str">
        <f t="shared" si="14"/>
        <v/>
      </c>
      <c r="T89" s="196" t="str">
        <f t="shared" si="15"/>
        <v/>
      </c>
      <c r="U89" s="197" t="str">
        <f t="shared" si="16"/>
        <v/>
      </c>
      <c r="V89" s="198" t="str">
        <f t="shared" si="13"/>
        <v/>
      </c>
      <c r="W89" s="339" t="str">
        <f t="shared" si="17"/>
        <v/>
      </c>
      <c r="X89" s="341" t="str">
        <f t="shared" si="18"/>
        <v/>
      </c>
      <c r="Y89" s="277"/>
      <c r="AR89" t="str">
        <f t="shared" si="19"/>
        <v/>
      </c>
      <c r="AS89" t="str">
        <f t="shared" si="20"/>
        <v/>
      </c>
    </row>
    <row r="90" spans="1:45">
      <c r="A90" s="294"/>
      <c r="B90" s="295"/>
      <c r="C90" s="296"/>
      <c r="D90" s="296"/>
      <c r="E90" s="296"/>
      <c r="F90" s="296"/>
      <c r="G90" s="297"/>
      <c r="H90" s="303"/>
      <c r="I90" s="298"/>
      <c r="J90" s="298"/>
      <c r="K90" s="299"/>
      <c r="L90" s="304"/>
      <c r="M90" s="300"/>
      <c r="N90" s="301"/>
      <c r="P90" s="193" t="str">
        <f>IF(R90 = "", "", COUNT(R$4:$R90))</f>
        <v/>
      </c>
      <c r="Q90" s="193" t="str">
        <f t="shared" si="11"/>
        <v/>
      </c>
      <c r="R90" s="194" t="str">
        <f t="shared" si="12"/>
        <v/>
      </c>
      <c r="S90" s="195" t="str">
        <f t="shared" si="14"/>
        <v/>
      </c>
      <c r="T90" s="196" t="str">
        <f t="shared" si="15"/>
        <v/>
      </c>
      <c r="U90" s="197" t="str">
        <f t="shared" si="16"/>
        <v/>
      </c>
      <c r="V90" s="198" t="str">
        <f t="shared" si="13"/>
        <v/>
      </c>
      <c r="W90" s="339" t="str">
        <f t="shared" si="17"/>
        <v/>
      </c>
      <c r="X90" s="341" t="str">
        <f t="shared" si="18"/>
        <v/>
      </c>
      <c r="Y90" s="277"/>
      <c r="AR90" t="str">
        <f t="shared" si="19"/>
        <v/>
      </c>
      <c r="AS90" t="str">
        <f t="shared" si="20"/>
        <v/>
      </c>
    </row>
    <row r="91" spans="1:45">
      <c r="A91" s="294"/>
      <c r="B91" s="295"/>
      <c r="C91" s="296"/>
      <c r="D91" s="296"/>
      <c r="E91" s="296"/>
      <c r="F91" s="296"/>
      <c r="G91" s="297"/>
      <c r="H91" s="303"/>
      <c r="I91" s="298"/>
      <c r="J91" s="298"/>
      <c r="K91" s="299"/>
      <c r="L91" s="304"/>
      <c r="M91" s="300"/>
      <c r="N91" s="301"/>
      <c r="P91" s="193" t="str">
        <f>IF(R91 = "", "", COUNT(R$4:$R91))</f>
        <v/>
      </c>
      <c r="Q91" s="193" t="str">
        <f t="shared" si="11"/>
        <v/>
      </c>
      <c r="R91" s="194" t="str">
        <f t="shared" si="12"/>
        <v/>
      </c>
      <c r="S91" s="195" t="str">
        <f t="shared" si="14"/>
        <v/>
      </c>
      <c r="T91" s="196" t="str">
        <f t="shared" si="15"/>
        <v/>
      </c>
      <c r="U91" s="197" t="str">
        <f t="shared" si="16"/>
        <v/>
      </c>
      <c r="V91" s="198" t="str">
        <f t="shared" si="13"/>
        <v/>
      </c>
      <c r="W91" s="339" t="str">
        <f t="shared" si="17"/>
        <v/>
      </c>
      <c r="X91" s="341" t="str">
        <f t="shared" si="18"/>
        <v/>
      </c>
      <c r="Y91" s="277"/>
      <c r="AR91" t="str">
        <f t="shared" si="19"/>
        <v/>
      </c>
      <c r="AS91" t="str">
        <f t="shared" si="20"/>
        <v/>
      </c>
    </row>
    <row r="92" spans="1:45">
      <c r="A92" s="294"/>
      <c r="B92" s="295"/>
      <c r="C92" s="296"/>
      <c r="D92" s="296"/>
      <c r="E92" s="296"/>
      <c r="F92" s="296"/>
      <c r="G92" s="297"/>
      <c r="H92" s="303"/>
      <c r="I92" s="298"/>
      <c r="J92" s="298"/>
      <c r="K92" s="299"/>
      <c r="L92" s="304"/>
      <c r="M92" s="300"/>
      <c r="N92" s="301"/>
      <c r="P92" s="193" t="str">
        <f>IF(R92 = "", "", COUNT(R$4:$R92))</f>
        <v/>
      </c>
      <c r="Q92" s="193" t="str">
        <f t="shared" si="11"/>
        <v/>
      </c>
      <c r="R92" s="194" t="str">
        <f t="shared" si="12"/>
        <v/>
      </c>
      <c r="S92" s="195" t="str">
        <f t="shared" si="14"/>
        <v/>
      </c>
      <c r="T92" s="196" t="str">
        <f t="shared" si="15"/>
        <v/>
      </c>
      <c r="U92" s="197" t="str">
        <f t="shared" si="16"/>
        <v/>
      </c>
      <c r="V92" s="198" t="str">
        <f t="shared" si="13"/>
        <v/>
      </c>
      <c r="W92" s="339" t="str">
        <f t="shared" si="17"/>
        <v/>
      </c>
      <c r="X92" s="341" t="str">
        <f t="shared" si="18"/>
        <v/>
      </c>
      <c r="Y92" s="277"/>
      <c r="AR92" t="str">
        <f t="shared" si="19"/>
        <v/>
      </c>
      <c r="AS92" t="str">
        <f t="shared" si="20"/>
        <v/>
      </c>
    </row>
    <row r="93" spans="1:45">
      <c r="A93" s="294"/>
      <c r="B93" s="295"/>
      <c r="C93" s="296"/>
      <c r="D93" s="296"/>
      <c r="E93" s="296"/>
      <c r="F93" s="296"/>
      <c r="G93" s="297"/>
      <c r="H93" s="303"/>
      <c r="I93" s="298"/>
      <c r="J93" s="298"/>
      <c r="K93" s="299"/>
      <c r="L93" s="304"/>
      <c r="M93" s="300"/>
      <c r="N93" s="301"/>
      <c r="P93" s="193" t="str">
        <f>IF(R93 = "", "", COUNT(R$4:$R93))</f>
        <v/>
      </c>
      <c r="Q93" s="193" t="str">
        <f t="shared" si="11"/>
        <v/>
      </c>
      <c r="R93" s="194" t="str">
        <f t="shared" si="12"/>
        <v/>
      </c>
      <c r="S93" s="195" t="str">
        <f t="shared" si="14"/>
        <v/>
      </c>
      <c r="T93" s="196" t="str">
        <f t="shared" si="15"/>
        <v/>
      </c>
      <c r="U93" s="197" t="str">
        <f t="shared" si="16"/>
        <v/>
      </c>
      <c r="V93" s="198" t="str">
        <f t="shared" si="13"/>
        <v/>
      </c>
      <c r="W93" s="339" t="str">
        <f t="shared" si="17"/>
        <v/>
      </c>
      <c r="X93" s="341" t="str">
        <f t="shared" si="18"/>
        <v/>
      </c>
      <c r="Y93" s="277"/>
      <c r="AR93" t="str">
        <f t="shared" si="19"/>
        <v/>
      </c>
      <c r="AS93" t="str">
        <f t="shared" si="20"/>
        <v/>
      </c>
    </row>
    <row r="94" spans="1:45">
      <c r="A94" s="294"/>
      <c r="B94" s="295"/>
      <c r="C94" s="296"/>
      <c r="D94" s="296"/>
      <c r="E94" s="296"/>
      <c r="F94" s="296"/>
      <c r="G94" s="297"/>
      <c r="H94" s="303"/>
      <c r="I94" s="298"/>
      <c r="J94" s="298"/>
      <c r="K94" s="299"/>
      <c r="L94" s="304"/>
      <c r="M94" s="300"/>
      <c r="N94" s="301"/>
      <c r="P94" s="193" t="str">
        <f>IF(R94 = "", "", COUNT(R$4:$R94))</f>
        <v/>
      </c>
      <c r="Q94" s="193" t="str">
        <f t="shared" si="11"/>
        <v/>
      </c>
      <c r="R94" s="194" t="str">
        <f t="shared" si="12"/>
        <v/>
      </c>
      <c r="S94" s="195" t="str">
        <f t="shared" si="14"/>
        <v/>
      </c>
      <c r="T94" s="196" t="str">
        <f t="shared" si="15"/>
        <v/>
      </c>
      <c r="U94" s="197" t="str">
        <f t="shared" si="16"/>
        <v/>
      </c>
      <c r="V94" s="198" t="str">
        <f t="shared" si="13"/>
        <v/>
      </c>
      <c r="W94" s="339" t="str">
        <f t="shared" si="17"/>
        <v/>
      </c>
      <c r="X94" s="341" t="str">
        <f t="shared" si="18"/>
        <v/>
      </c>
      <c r="Y94" s="277"/>
      <c r="AR94" t="str">
        <f t="shared" si="19"/>
        <v/>
      </c>
      <c r="AS94" t="str">
        <f t="shared" si="20"/>
        <v/>
      </c>
    </row>
    <row r="95" spans="1:45">
      <c r="A95" s="294"/>
      <c r="B95" s="295"/>
      <c r="C95" s="296"/>
      <c r="D95" s="296"/>
      <c r="E95" s="296"/>
      <c r="F95" s="296"/>
      <c r="G95" s="297"/>
      <c r="H95" s="303"/>
      <c r="I95" s="298"/>
      <c r="J95" s="298"/>
      <c r="K95" s="299"/>
      <c r="L95" s="304"/>
      <c r="M95" s="300"/>
      <c r="N95" s="301"/>
      <c r="P95" s="193" t="str">
        <f>IF(R95 = "", "", COUNT(R$4:$R95))</f>
        <v/>
      </c>
      <c r="Q95" s="193" t="str">
        <f t="shared" si="11"/>
        <v/>
      </c>
      <c r="R95" s="194" t="str">
        <f t="shared" si="12"/>
        <v/>
      </c>
      <c r="S95" s="195" t="str">
        <f t="shared" si="14"/>
        <v/>
      </c>
      <c r="T95" s="196" t="str">
        <f t="shared" si="15"/>
        <v/>
      </c>
      <c r="U95" s="197" t="str">
        <f t="shared" si="16"/>
        <v/>
      </c>
      <c r="V95" s="198" t="str">
        <f t="shared" si="13"/>
        <v/>
      </c>
      <c r="W95" s="339" t="str">
        <f t="shared" si="17"/>
        <v/>
      </c>
      <c r="X95" s="341" t="str">
        <f t="shared" si="18"/>
        <v/>
      </c>
      <c r="Y95" s="277"/>
      <c r="AR95" t="str">
        <f t="shared" si="19"/>
        <v/>
      </c>
      <c r="AS95" t="str">
        <f t="shared" si="20"/>
        <v/>
      </c>
    </row>
    <row r="96" spans="1:45">
      <c r="A96" s="294"/>
      <c r="B96" s="295"/>
      <c r="C96" s="296"/>
      <c r="D96" s="296"/>
      <c r="E96" s="296"/>
      <c r="F96" s="296"/>
      <c r="G96" s="297"/>
      <c r="H96" s="303"/>
      <c r="I96" s="298"/>
      <c r="J96" s="298"/>
      <c r="K96" s="299"/>
      <c r="L96" s="304"/>
      <c r="M96" s="300"/>
      <c r="N96" s="301"/>
      <c r="P96" s="193" t="str">
        <f>IF(R96 = "", "", COUNT(R$4:$R96))</f>
        <v/>
      </c>
      <c r="Q96" s="193" t="str">
        <f t="shared" si="11"/>
        <v/>
      </c>
      <c r="R96" s="194" t="str">
        <f t="shared" si="12"/>
        <v/>
      </c>
      <c r="S96" s="195" t="str">
        <f t="shared" si="14"/>
        <v/>
      </c>
      <c r="T96" s="196" t="str">
        <f t="shared" si="15"/>
        <v/>
      </c>
      <c r="U96" s="197" t="str">
        <f t="shared" si="16"/>
        <v/>
      </c>
      <c r="V96" s="198" t="str">
        <f t="shared" si="13"/>
        <v/>
      </c>
      <c r="W96" s="339" t="str">
        <f t="shared" si="17"/>
        <v/>
      </c>
      <c r="X96" s="341" t="str">
        <f t="shared" si="18"/>
        <v/>
      </c>
      <c r="Y96" s="277"/>
      <c r="AR96" t="str">
        <f t="shared" si="19"/>
        <v/>
      </c>
      <c r="AS96" t="str">
        <f t="shared" si="20"/>
        <v/>
      </c>
    </row>
    <row r="97" spans="1:45">
      <c r="A97" s="294"/>
      <c r="B97" s="295"/>
      <c r="C97" s="296"/>
      <c r="D97" s="296"/>
      <c r="E97" s="296"/>
      <c r="F97" s="296"/>
      <c r="G97" s="297"/>
      <c r="H97" s="303"/>
      <c r="I97" s="298"/>
      <c r="J97" s="298"/>
      <c r="K97" s="299"/>
      <c r="L97" s="304"/>
      <c r="M97" s="300"/>
      <c r="N97" s="301"/>
      <c r="P97" s="193" t="str">
        <f>IF(R97 = "", "", COUNT(R$4:$R97))</f>
        <v/>
      </c>
      <c r="Q97" s="193" t="str">
        <f t="shared" si="11"/>
        <v/>
      </c>
      <c r="R97" s="194" t="str">
        <f t="shared" si="12"/>
        <v/>
      </c>
      <c r="S97" s="195" t="str">
        <f t="shared" si="14"/>
        <v/>
      </c>
      <c r="T97" s="196" t="str">
        <f t="shared" si="15"/>
        <v/>
      </c>
      <c r="U97" s="197" t="str">
        <f t="shared" si="16"/>
        <v/>
      </c>
      <c r="V97" s="198" t="str">
        <f t="shared" si="13"/>
        <v/>
      </c>
      <c r="W97" s="339" t="str">
        <f t="shared" si="17"/>
        <v/>
      </c>
      <c r="X97" s="341" t="str">
        <f t="shared" si="18"/>
        <v/>
      </c>
      <c r="Y97" s="277"/>
      <c r="AR97" t="str">
        <f t="shared" si="19"/>
        <v/>
      </c>
      <c r="AS97" t="str">
        <f t="shared" si="20"/>
        <v/>
      </c>
    </row>
    <row r="98" spans="1:45">
      <c r="A98" s="294"/>
      <c r="B98" s="295"/>
      <c r="C98" s="296"/>
      <c r="D98" s="296"/>
      <c r="E98" s="296"/>
      <c r="F98" s="296"/>
      <c r="G98" s="297"/>
      <c r="H98" s="303"/>
      <c r="I98" s="298"/>
      <c r="J98" s="298"/>
      <c r="K98" s="299"/>
      <c r="L98" s="304"/>
      <c r="M98" s="300"/>
      <c r="N98" s="301"/>
      <c r="P98" s="193" t="str">
        <f>IF(R98 = "", "", COUNT(R$4:$R98))</f>
        <v/>
      </c>
      <c r="Q98" s="193" t="str">
        <f t="shared" si="11"/>
        <v/>
      </c>
      <c r="R98" s="194" t="str">
        <f t="shared" si="12"/>
        <v/>
      </c>
      <c r="S98" s="195" t="str">
        <f t="shared" si="14"/>
        <v/>
      </c>
      <c r="T98" s="196" t="str">
        <f t="shared" si="15"/>
        <v/>
      </c>
      <c r="U98" s="197" t="str">
        <f t="shared" si="16"/>
        <v/>
      </c>
      <c r="V98" s="198" t="str">
        <f t="shared" si="13"/>
        <v/>
      </c>
      <c r="W98" s="339" t="str">
        <f t="shared" si="17"/>
        <v/>
      </c>
      <c r="X98" s="341" t="str">
        <f t="shared" si="18"/>
        <v/>
      </c>
      <c r="Y98" s="277"/>
      <c r="AR98" t="str">
        <f t="shared" si="19"/>
        <v/>
      </c>
      <c r="AS98" t="str">
        <f t="shared" si="20"/>
        <v/>
      </c>
    </row>
    <row r="99" spans="1:45">
      <c r="A99" s="294"/>
      <c r="B99" s="295"/>
      <c r="C99" s="296"/>
      <c r="D99" s="296"/>
      <c r="E99" s="296"/>
      <c r="F99" s="296"/>
      <c r="G99" s="297"/>
      <c r="H99" s="303"/>
      <c r="I99" s="298"/>
      <c r="J99" s="298"/>
      <c r="K99" s="299"/>
      <c r="L99" s="304"/>
      <c r="M99" s="300"/>
      <c r="N99" s="301"/>
      <c r="P99" s="193" t="str">
        <f>IF(R99 = "", "", COUNT(R$4:$R99))</f>
        <v/>
      </c>
      <c r="Q99" s="193" t="str">
        <f t="shared" si="11"/>
        <v/>
      </c>
      <c r="R99" s="194" t="str">
        <f t="shared" si="12"/>
        <v/>
      </c>
      <c r="S99" s="195" t="str">
        <f t="shared" si="14"/>
        <v/>
      </c>
      <c r="T99" s="196" t="str">
        <f t="shared" si="15"/>
        <v/>
      </c>
      <c r="U99" s="197" t="str">
        <f t="shared" si="16"/>
        <v/>
      </c>
      <c r="V99" s="198" t="str">
        <f t="shared" si="13"/>
        <v/>
      </c>
      <c r="W99" s="339" t="str">
        <f t="shared" si="17"/>
        <v/>
      </c>
      <c r="X99" s="341" t="str">
        <f t="shared" si="18"/>
        <v/>
      </c>
      <c r="Y99" s="277"/>
      <c r="AR99" t="str">
        <f t="shared" si="19"/>
        <v/>
      </c>
      <c r="AS99" t="str">
        <f t="shared" si="20"/>
        <v/>
      </c>
    </row>
    <row r="100" spans="1:45">
      <c r="A100" s="294"/>
      <c r="B100" s="295"/>
      <c r="C100" s="296"/>
      <c r="D100" s="296"/>
      <c r="E100" s="296"/>
      <c r="F100" s="296"/>
      <c r="G100" s="297"/>
      <c r="H100" s="303"/>
      <c r="I100" s="298"/>
      <c r="J100" s="298"/>
      <c r="K100" s="299"/>
      <c r="L100" s="304"/>
      <c r="M100" s="300"/>
      <c r="N100" s="301"/>
      <c r="P100" s="193" t="str">
        <f>IF(R100 = "", "", COUNT(R$4:$R100))</f>
        <v/>
      </c>
      <c r="Q100" s="193" t="str">
        <f t="shared" si="11"/>
        <v/>
      </c>
      <c r="R100" s="194" t="str">
        <f t="shared" si="12"/>
        <v/>
      </c>
      <c r="S100" s="195" t="str">
        <f t="shared" si="14"/>
        <v/>
      </c>
      <c r="T100" s="196" t="str">
        <f t="shared" si="15"/>
        <v/>
      </c>
      <c r="U100" s="197" t="str">
        <f t="shared" si="16"/>
        <v/>
      </c>
      <c r="V100" s="198" t="str">
        <f t="shared" si="13"/>
        <v/>
      </c>
      <c r="W100" s="339" t="str">
        <f t="shared" si="17"/>
        <v/>
      </c>
      <c r="X100" s="341" t="str">
        <f t="shared" si="18"/>
        <v/>
      </c>
      <c r="Y100" s="277"/>
      <c r="AR100" t="str">
        <f t="shared" si="19"/>
        <v/>
      </c>
      <c r="AS100" t="str">
        <f t="shared" si="20"/>
        <v/>
      </c>
    </row>
    <row r="101" spans="1:45">
      <c r="A101" s="294"/>
      <c r="B101" s="295"/>
      <c r="C101" s="296"/>
      <c r="D101" s="296"/>
      <c r="E101" s="296"/>
      <c r="F101" s="296"/>
      <c r="G101" s="297"/>
      <c r="H101" s="303"/>
      <c r="I101" s="298"/>
      <c r="J101" s="298"/>
      <c r="K101" s="299"/>
      <c r="L101" s="304"/>
      <c r="M101" s="300"/>
      <c r="N101" s="301"/>
      <c r="P101" s="193" t="str">
        <f>IF(R101 = "", "", COUNT(R$4:$R101))</f>
        <v/>
      </c>
      <c r="Q101" s="193" t="str">
        <f t="shared" si="11"/>
        <v/>
      </c>
      <c r="R101" s="194" t="str">
        <f t="shared" si="12"/>
        <v/>
      </c>
      <c r="S101" s="195" t="str">
        <f t="shared" si="14"/>
        <v/>
      </c>
      <c r="T101" s="196" t="str">
        <f t="shared" si="15"/>
        <v/>
      </c>
      <c r="U101" s="197" t="str">
        <f t="shared" si="16"/>
        <v/>
      </c>
      <c r="V101" s="198" t="str">
        <f t="shared" si="13"/>
        <v/>
      </c>
      <c r="W101" s="339" t="str">
        <f t="shared" si="17"/>
        <v/>
      </c>
      <c r="X101" s="341" t="str">
        <f t="shared" si="18"/>
        <v/>
      </c>
      <c r="Y101" s="277"/>
      <c r="AR101" t="str">
        <f t="shared" si="19"/>
        <v/>
      </c>
      <c r="AS101" t="str">
        <f t="shared" si="20"/>
        <v/>
      </c>
    </row>
    <row r="102" spans="1:45">
      <c r="A102" s="294"/>
      <c r="B102" s="295"/>
      <c r="C102" s="296"/>
      <c r="D102" s="296"/>
      <c r="E102" s="296"/>
      <c r="F102" s="296"/>
      <c r="G102" s="297"/>
      <c r="H102" s="303"/>
      <c r="I102" s="298"/>
      <c r="J102" s="298"/>
      <c r="K102" s="299"/>
      <c r="L102" s="304"/>
      <c r="M102" s="300"/>
      <c r="N102" s="301"/>
      <c r="P102" s="193" t="str">
        <f>IF(R102 = "", "", COUNT(R$4:$R102))</f>
        <v/>
      </c>
      <c r="Q102" s="193" t="str">
        <f t="shared" si="11"/>
        <v/>
      </c>
      <c r="R102" s="194" t="str">
        <f t="shared" si="12"/>
        <v/>
      </c>
      <c r="S102" s="195" t="str">
        <f t="shared" si="14"/>
        <v/>
      </c>
      <c r="T102" s="196" t="str">
        <f t="shared" si="15"/>
        <v/>
      </c>
      <c r="U102" s="197" t="str">
        <f t="shared" si="16"/>
        <v/>
      </c>
      <c r="V102" s="198" t="str">
        <f t="shared" si="13"/>
        <v/>
      </c>
      <c r="W102" s="339" t="str">
        <f t="shared" si="17"/>
        <v/>
      </c>
      <c r="X102" s="341" t="str">
        <f t="shared" si="18"/>
        <v/>
      </c>
      <c r="Y102" s="277"/>
      <c r="AR102" t="str">
        <f t="shared" si="19"/>
        <v/>
      </c>
      <c r="AS102" t="str">
        <f t="shared" si="20"/>
        <v/>
      </c>
    </row>
    <row r="103" spans="1:45">
      <c r="A103" s="294"/>
      <c r="B103" s="295"/>
      <c r="C103" s="296"/>
      <c r="D103" s="296"/>
      <c r="E103" s="296"/>
      <c r="F103" s="296"/>
      <c r="G103" s="297"/>
      <c r="H103" s="303"/>
      <c r="I103" s="298"/>
      <c r="J103" s="298"/>
      <c r="K103" s="299"/>
      <c r="L103" s="304"/>
      <c r="M103" s="300"/>
      <c r="N103" s="301"/>
      <c r="P103" s="193" t="str">
        <f>IF(R103 = "", "", COUNT(R$4:$R103))</f>
        <v/>
      </c>
      <c r="Q103" s="193" t="str">
        <f t="shared" si="11"/>
        <v/>
      </c>
      <c r="R103" s="194" t="str">
        <f t="shared" si="12"/>
        <v/>
      </c>
      <c r="S103" s="195" t="str">
        <f t="shared" si="14"/>
        <v/>
      </c>
      <c r="T103" s="196" t="str">
        <f t="shared" si="15"/>
        <v/>
      </c>
      <c r="U103" s="197" t="str">
        <f t="shared" si="16"/>
        <v/>
      </c>
      <c r="V103" s="198" t="str">
        <f t="shared" si="13"/>
        <v/>
      </c>
      <c r="W103" s="339" t="str">
        <f t="shared" si="17"/>
        <v/>
      </c>
      <c r="X103" s="341" t="str">
        <f t="shared" si="18"/>
        <v/>
      </c>
      <c r="Y103" s="277"/>
      <c r="AR103" t="str">
        <f t="shared" si="19"/>
        <v/>
      </c>
      <c r="AS103" t="str">
        <f t="shared" si="20"/>
        <v/>
      </c>
    </row>
    <row r="104" spans="1:45">
      <c r="A104" s="294"/>
      <c r="B104" s="295"/>
      <c r="C104" s="296"/>
      <c r="D104" s="296"/>
      <c r="E104" s="296"/>
      <c r="F104" s="296"/>
      <c r="G104" s="297"/>
      <c r="H104" s="303"/>
      <c r="I104" s="298"/>
      <c r="J104" s="298"/>
      <c r="K104" s="299"/>
      <c r="L104" s="304"/>
      <c r="M104" s="300"/>
      <c r="N104" s="301"/>
      <c r="P104" s="193" t="str">
        <f>IF(R104 = "", "", COUNT(R$4:$R104))</f>
        <v/>
      </c>
      <c r="Q104" s="193" t="str">
        <f t="shared" si="11"/>
        <v/>
      </c>
      <c r="R104" s="194" t="str">
        <f t="shared" si="12"/>
        <v/>
      </c>
      <c r="S104" s="195" t="str">
        <f t="shared" si="14"/>
        <v/>
      </c>
      <c r="T104" s="196" t="str">
        <f t="shared" si="15"/>
        <v/>
      </c>
      <c r="U104" s="197" t="str">
        <f t="shared" si="16"/>
        <v/>
      </c>
      <c r="V104" s="198" t="str">
        <f t="shared" si="13"/>
        <v/>
      </c>
      <c r="W104" s="339" t="str">
        <f t="shared" si="17"/>
        <v/>
      </c>
      <c r="X104" s="341" t="str">
        <f t="shared" si="18"/>
        <v/>
      </c>
      <c r="Y104" s="277"/>
      <c r="AR104" t="str">
        <f t="shared" si="19"/>
        <v/>
      </c>
      <c r="AS104" t="str">
        <f t="shared" si="20"/>
        <v/>
      </c>
    </row>
    <row r="105" spans="1:45">
      <c r="A105" s="294"/>
      <c r="B105" s="295"/>
      <c r="C105" s="296"/>
      <c r="D105" s="296"/>
      <c r="E105" s="296"/>
      <c r="F105" s="296"/>
      <c r="G105" s="297"/>
      <c r="H105" s="303"/>
      <c r="I105" s="298"/>
      <c r="J105" s="298"/>
      <c r="K105" s="299"/>
      <c r="L105" s="304"/>
      <c r="M105" s="300"/>
      <c r="N105" s="301"/>
      <c r="P105" s="193" t="str">
        <f>IF(R105 = "", "", COUNT(R$4:$R105))</f>
        <v/>
      </c>
      <c r="Q105" s="193" t="str">
        <f t="shared" si="11"/>
        <v/>
      </c>
      <c r="R105" s="194" t="str">
        <f t="shared" si="12"/>
        <v/>
      </c>
      <c r="S105" s="195" t="str">
        <f t="shared" si="14"/>
        <v/>
      </c>
      <c r="T105" s="196" t="str">
        <f t="shared" si="15"/>
        <v/>
      </c>
      <c r="U105" s="197" t="str">
        <f t="shared" si="16"/>
        <v/>
      </c>
      <c r="V105" s="198" t="str">
        <f t="shared" si="13"/>
        <v/>
      </c>
      <c r="W105" s="339" t="str">
        <f t="shared" si="17"/>
        <v/>
      </c>
      <c r="X105" s="341" t="str">
        <f t="shared" si="18"/>
        <v/>
      </c>
      <c r="Y105" s="277"/>
      <c r="AR105" t="str">
        <f t="shared" si="19"/>
        <v/>
      </c>
      <c r="AS105" t="str">
        <f t="shared" si="20"/>
        <v/>
      </c>
    </row>
    <row r="106" spans="1:45">
      <c r="A106" s="294"/>
      <c r="B106" s="295"/>
      <c r="C106" s="296"/>
      <c r="D106" s="296"/>
      <c r="E106" s="296"/>
      <c r="F106" s="296"/>
      <c r="G106" s="297"/>
      <c r="H106" s="303"/>
      <c r="I106" s="298"/>
      <c r="J106" s="298"/>
      <c r="K106" s="299"/>
      <c r="L106" s="304"/>
      <c r="M106" s="300"/>
      <c r="N106" s="301"/>
      <c r="P106" s="193" t="str">
        <f>IF(R106 = "", "", COUNT(R$4:$R106))</f>
        <v/>
      </c>
      <c r="Q106" s="193" t="str">
        <f t="shared" si="11"/>
        <v/>
      </c>
      <c r="R106" s="194" t="str">
        <f t="shared" si="12"/>
        <v/>
      </c>
      <c r="S106" s="195" t="str">
        <f t="shared" si="14"/>
        <v/>
      </c>
      <c r="T106" s="196" t="str">
        <f t="shared" si="15"/>
        <v/>
      </c>
      <c r="U106" s="197" t="str">
        <f t="shared" si="16"/>
        <v/>
      </c>
      <c r="V106" s="198" t="str">
        <f t="shared" si="13"/>
        <v/>
      </c>
      <c r="W106" s="339" t="str">
        <f t="shared" si="17"/>
        <v/>
      </c>
      <c r="X106" s="341" t="str">
        <f t="shared" si="18"/>
        <v/>
      </c>
      <c r="Y106" s="277"/>
      <c r="AR106" t="str">
        <f t="shared" si="19"/>
        <v/>
      </c>
      <c r="AS106" t="str">
        <f t="shared" si="20"/>
        <v/>
      </c>
    </row>
    <row r="107" spans="1:45">
      <c r="A107" s="294"/>
      <c r="B107" s="295"/>
      <c r="C107" s="296"/>
      <c r="D107" s="296"/>
      <c r="E107" s="296"/>
      <c r="F107" s="296"/>
      <c r="G107" s="297"/>
      <c r="H107" s="303"/>
      <c r="I107" s="298"/>
      <c r="J107" s="298"/>
      <c r="K107" s="299"/>
      <c r="L107" s="304"/>
      <c r="M107" s="300"/>
      <c r="N107" s="301"/>
      <c r="P107" s="193" t="str">
        <f>IF(R107 = "", "", COUNT(R$4:$R107))</f>
        <v/>
      </c>
      <c r="Q107" s="193" t="str">
        <f t="shared" si="11"/>
        <v/>
      </c>
      <c r="R107" s="194" t="str">
        <f t="shared" si="12"/>
        <v/>
      </c>
      <c r="S107" s="195" t="str">
        <f t="shared" si="14"/>
        <v/>
      </c>
      <c r="T107" s="196" t="str">
        <f t="shared" si="15"/>
        <v/>
      </c>
      <c r="U107" s="197" t="str">
        <f t="shared" si="16"/>
        <v/>
      </c>
      <c r="V107" s="198" t="str">
        <f t="shared" si="13"/>
        <v/>
      </c>
      <c r="W107" s="339" t="str">
        <f t="shared" si="17"/>
        <v/>
      </c>
      <c r="X107" s="341" t="str">
        <f t="shared" si="18"/>
        <v/>
      </c>
      <c r="Y107" s="277"/>
      <c r="AR107" t="str">
        <f t="shared" si="19"/>
        <v/>
      </c>
      <c r="AS107" t="str">
        <f t="shared" si="20"/>
        <v/>
      </c>
    </row>
    <row r="108" spans="1:45">
      <c r="A108" s="294"/>
      <c r="B108" s="295"/>
      <c r="C108" s="296"/>
      <c r="D108" s="296"/>
      <c r="E108" s="296"/>
      <c r="F108" s="296"/>
      <c r="G108" s="297"/>
      <c r="H108" s="303"/>
      <c r="I108" s="298"/>
      <c r="J108" s="298"/>
      <c r="K108" s="299"/>
      <c r="L108" s="304"/>
      <c r="M108" s="300"/>
      <c r="N108" s="301"/>
      <c r="P108" s="193" t="str">
        <f>IF(R108 = "", "", COUNT(R$4:$R108))</f>
        <v/>
      </c>
      <c r="Q108" s="193" t="str">
        <f t="shared" si="11"/>
        <v/>
      </c>
      <c r="R108" s="194" t="str">
        <f t="shared" si="12"/>
        <v/>
      </c>
      <c r="S108" s="195" t="str">
        <f t="shared" si="14"/>
        <v/>
      </c>
      <c r="T108" s="196" t="str">
        <f t="shared" si="15"/>
        <v/>
      </c>
      <c r="U108" s="197" t="str">
        <f t="shared" si="16"/>
        <v/>
      </c>
      <c r="V108" s="198" t="str">
        <f t="shared" si="13"/>
        <v/>
      </c>
      <c r="W108" s="339" t="str">
        <f t="shared" si="17"/>
        <v/>
      </c>
      <c r="X108" s="341" t="str">
        <f t="shared" si="18"/>
        <v/>
      </c>
      <c r="Y108" s="277"/>
      <c r="AR108" t="str">
        <f t="shared" si="19"/>
        <v/>
      </c>
      <c r="AS108" t="str">
        <f t="shared" si="20"/>
        <v/>
      </c>
    </row>
    <row r="109" spans="1:45">
      <c r="A109" s="294"/>
      <c r="B109" s="295"/>
      <c r="C109" s="296"/>
      <c r="D109" s="296"/>
      <c r="E109" s="296"/>
      <c r="F109" s="296"/>
      <c r="G109" s="297"/>
      <c r="H109" s="303"/>
      <c r="I109" s="298"/>
      <c r="J109" s="298"/>
      <c r="K109" s="299"/>
      <c r="L109" s="304"/>
      <c r="M109" s="300"/>
      <c r="N109" s="301"/>
      <c r="P109" s="193" t="str">
        <f>IF(R109 = "", "", COUNT(R$4:$R109))</f>
        <v/>
      </c>
      <c r="Q109" s="193" t="str">
        <f t="shared" si="11"/>
        <v/>
      </c>
      <c r="R109" s="194" t="str">
        <f t="shared" si="12"/>
        <v/>
      </c>
      <c r="S109" s="195" t="str">
        <f t="shared" si="14"/>
        <v/>
      </c>
      <c r="T109" s="196" t="str">
        <f t="shared" si="15"/>
        <v/>
      </c>
      <c r="U109" s="197" t="str">
        <f t="shared" si="16"/>
        <v/>
      </c>
      <c r="V109" s="198" t="str">
        <f t="shared" si="13"/>
        <v/>
      </c>
      <c r="W109" s="339" t="str">
        <f t="shared" si="17"/>
        <v/>
      </c>
      <c r="X109" s="341" t="str">
        <f t="shared" si="18"/>
        <v/>
      </c>
      <c r="Y109" s="277"/>
      <c r="AR109" t="str">
        <f t="shared" si="19"/>
        <v/>
      </c>
      <c r="AS109" t="str">
        <f t="shared" si="20"/>
        <v/>
      </c>
    </row>
    <row r="110" spans="1:45">
      <c r="A110" s="294"/>
      <c r="B110" s="295"/>
      <c r="C110" s="296"/>
      <c r="D110" s="296"/>
      <c r="E110" s="296"/>
      <c r="F110" s="296"/>
      <c r="G110" s="297"/>
      <c r="H110" s="303"/>
      <c r="I110" s="298"/>
      <c r="J110" s="298"/>
      <c r="K110" s="299"/>
      <c r="L110" s="304"/>
      <c r="M110" s="300"/>
      <c r="N110" s="301"/>
      <c r="P110" s="193" t="str">
        <f>IF(R110 = "", "", COUNT(R$4:$R110))</f>
        <v/>
      </c>
      <c r="Q110" s="193" t="str">
        <f t="shared" si="11"/>
        <v/>
      </c>
      <c r="R110" s="194" t="str">
        <f t="shared" si="12"/>
        <v/>
      </c>
      <c r="S110" s="195" t="str">
        <f t="shared" si="14"/>
        <v/>
      </c>
      <c r="T110" s="196" t="str">
        <f t="shared" si="15"/>
        <v/>
      </c>
      <c r="U110" s="197" t="str">
        <f t="shared" si="16"/>
        <v/>
      </c>
      <c r="V110" s="198" t="str">
        <f t="shared" si="13"/>
        <v/>
      </c>
      <c r="W110" s="339" t="str">
        <f t="shared" si="17"/>
        <v/>
      </c>
      <c r="X110" s="341" t="str">
        <f t="shared" si="18"/>
        <v/>
      </c>
      <c r="Y110" s="277"/>
      <c r="AR110" t="str">
        <f t="shared" si="19"/>
        <v/>
      </c>
      <c r="AS110" t="str">
        <f t="shared" si="20"/>
        <v/>
      </c>
    </row>
    <row r="111" spans="1:45">
      <c r="A111" s="294"/>
      <c r="B111" s="295"/>
      <c r="C111" s="296"/>
      <c r="D111" s="296"/>
      <c r="E111" s="296"/>
      <c r="F111" s="296"/>
      <c r="G111" s="297"/>
      <c r="H111" s="303"/>
      <c r="I111" s="298"/>
      <c r="J111" s="298"/>
      <c r="K111" s="299"/>
      <c r="L111" s="304"/>
      <c r="M111" s="300"/>
      <c r="N111" s="301"/>
      <c r="P111" s="193" t="str">
        <f>IF(R111 = "", "", COUNT(R$4:$R111))</f>
        <v/>
      </c>
      <c r="Q111" s="193" t="str">
        <f t="shared" si="11"/>
        <v/>
      </c>
      <c r="R111" s="194" t="str">
        <f t="shared" si="12"/>
        <v/>
      </c>
      <c r="S111" s="195" t="str">
        <f t="shared" si="14"/>
        <v/>
      </c>
      <c r="T111" s="196" t="str">
        <f t="shared" si="15"/>
        <v/>
      </c>
      <c r="U111" s="197" t="str">
        <f t="shared" si="16"/>
        <v/>
      </c>
      <c r="V111" s="198" t="str">
        <f t="shared" si="13"/>
        <v/>
      </c>
      <c r="W111" s="339" t="str">
        <f t="shared" si="17"/>
        <v/>
      </c>
      <c r="X111" s="341" t="str">
        <f t="shared" si="18"/>
        <v/>
      </c>
      <c r="Y111" s="277"/>
      <c r="AR111" t="str">
        <f t="shared" si="19"/>
        <v/>
      </c>
      <c r="AS111" t="str">
        <f t="shared" si="20"/>
        <v/>
      </c>
    </row>
    <row r="112" spans="1:45">
      <c r="A112" s="294"/>
      <c r="B112" s="295"/>
      <c r="C112" s="296"/>
      <c r="D112" s="296"/>
      <c r="E112" s="296"/>
      <c r="F112" s="296"/>
      <c r="G112" s="297"/>
      <c r="H112" s="303"/>
      <c r="I112" s="298"/>
      <c r="J112" s="298"/>
      <c r="K112" s="299"/>
      <c r="L112" s="304"/>
      <c r="M112" s="300"/>
      <c r="N112" s="301"/>
      <c r="P112" s="193" t="str">
        <f>IF(R112 = "", "", COUNT(R$4:$R112))</f>
        <v/>
      </c>
      <c r="Q112" s="193" t="str">
        <f t="shared" si="11"/>
        <v/>
      </c>
      <c r="R112" s="194" t="str">
        <f t="shared" si="12"/>
        <v/>
      </c>
      <c r="S112" s="195" t="str">
        <f t="shared" si="14"/>
        <v/>
      </c>
      <c r="T112" s="196" t="str">
        <f t="shared" si="15"/>
        <v/>
      </c>
      <c r="U112" s="197" t="str">
        <f t="shared" si="16"/>
        <v/>
      </c>
      <c r="V112" s="198" t="str">
        <f t="shared" si="13"/>
        <v/>
      </c>
      <c r="W112" s="339" t="str">
        <f t="shared" si="17"/>
        <v/>
      </c>
      <c r="X112" s="341" t="str">
        <f t="shared" si="18"/>
        <v/>
      </c>
      <c r="Y112" s="277"/>
      <c r="AR112" t="str">
        <f t="shared" si="19"/>
        <v/>
      </c>
      <c r="AS112" t="str">
        <f t="shared" si="20"/>
        <v/>
      </c>
    </row>
    <row r="113" spans="1:45">
      <c r="A113" s="294"/>
      <c r="B113" s="295"/>
      <c r="C113" s="296"/>
      <c r="D113" s="296"/>
      <c r="E113" s="296"/>
      <c r="F113" s="296"/>
      <c r="G113" s="297"/>
      <c r="H113" s="303"/>
      <c r="I113" s="298"/>
      <c r="J113" s="298"/>
      <c r="K113" s="299"/>
      <c r="L113" s="304"/>
      <c r="M113" s="300"/>
      <c r="N113" s="301"/>
      <c r="P113" s="193" t="str">
        <f>IF(R113 = "", "", COUNT(R$4:$R113))</f>
        <v/>
      </c>
      <c r="Q113" s="193" t="str">
        <f t="shared" si="11"/>
        <v/>
      </c>
      <c r="R113" s="194" t="str">
        <f t="shared" si="12"/>
        <v/>
      </c>
      <c r="S113" s="195" t="str">
        <f t="shared" si="14"/>
        <v/>
      </c>
      <c r="T113" s="196" t="str">
        <f t="shared" si="15"/>
        <v/>
      </c>
      <c r="U113" s="197" t="str">
        <f t="shared" si="16"/>
        <v/>
      </c>
      <c r="V113" s="198" t="str">
        <f t="shared" si="13"/>
        <v/>
      </c>
      <c r="W113" s="339" t="str">
        <f t="shared" si="17"/>
        <v/>
      </c>
      <c r="X113" s="341" t="str">
        <f t="shared" si="18"/>
        <v/>
      </c>
      <c r="Y113" s="277"/>
      <c r="AR113" t="str">
        <f t="shared" si="19"/>
        <v/>
      </c>
      <c r="AS113" t="str">
        <f t="shared" si="20"/>
        <v/>
      </c>
    </row>
    <row r="114" spans="1:45">
      <c r="A114" s="294"/>
      <c r="B114" s="295"/>
      <c r="C114" s="296"/>
      <c r="D114" s="296"/>
      <c r="E114" s="296"/>
      <c r="F114" s="296"/>
      <c r="G114" s="297"/>
      <c r="H114" s="303"/>
      <c r="I114" s="298"/>
      <c r="J114" s="298"/>
      <c r="K114" s="299"/>
      <c r="L114" s="304"/>
      <c r="M114" s="300"/>
      <c r="N114" s="301"/>
      <c r="P114" s="193" t="str">
        <f>IF(R114 = "", "", COUNT(R$4:$R114))</f>
        <v/>
      </c>
      <c r="Q114" s="193" t="str">
        <f t="shared" si="11"/>
        <v/>
      </c>
      <c r="R114" s="194" t="str">
        <f t="shared" si="12"/>
        <v/>
      </c>
      <c r="S114" s="195" t="str">
        <f t="shared" si="14"/>
        <v/>
      </c>
      <c r="T114" s="196" t="str">
        <f t="shared" si="15"/>
        <v/>
      </c>
      <c r="U114" s="197" t="str">
        <f t="shared" si="16"/>
        <v/>
      </c>
      <c r="V114" s="198" t="str">
        <f t="shared" si="13"/>
        <v/>
      </c>
      <c r="W114" s="339" t="str">
        <f t="shared" si="17"/>
        <v/>
      </c>
      <c r="X114" s="341" t="str">
        <f t="shared" si="18"/>
        <v/>
      </c>
      <c r="Y114" s="277"/>
      <c r="AR114" t="str">
        <f t="shared" si="19"/>
        <v/>
      </c>
      <c r="AS114" t="str">
        <f t="shared" si="20"/>
        <v/>
      </c>
    </row>
    <row r="115" spans="1:45">
      <c r="A115" s="294"/>
      <c r="B115" s="295"/>
      <c r="C115" s="296"/>
      <c r="D115" s="296"/>
      <c r="E115" s="296"/>
      <c r="F115" s="296"/>
      <c r="G115" s="297"/>
      <c r="H115" s="303"/>
      <c r="I115" s="298"/>
      <c r="J115" s="298"/>
      <c r="K115" s="299"/>
      <c r="L115" s="304"/>
      <c r="M115" s="300"/>
      <c r="N115" s="301"/>
      <c r="P115" s="193" t="str">
        <f>IF(R115 = "", "", COUNT(R$4:$R115))</f>
        <v/>
      </c>
      <c r="Q115" s="193" t="str">
        <f t="shared" si="11"/>
        <v/>
      </c>
      <c r="R115" s="194" t="str">
        <f t="shared" si="12"/>
        <v/>
      </c>
      <c r="S115" s="195" t="str">
        <f t="shared" si="14"/>
        <v/>
      </c>
      <c r="T115" s="196" t="str">
        <f t="shared" si="15"/>
        <v/>
      </c>
      <c r="U115" s="197" t="str">
        <f t="shared" si="16"/>
        <v/>
      </c>
      <c r="V115" s="198" t="str">
        <f t="shared" si="13"/>
        <v/>
      </c>
      <c r="W115" s="339" t="str">
        <f t="shared" si="17"/>
        <v/>
      </c>
      <c r="X115" s="341" t="str">
        <f t="shared" si="18"/>
        <v/>
      </c>
      <c r="Y115" s="277"/>
      <c r="AR115" t="str">
        <f t="shared" si="19"/>
        <v/>
      </c>
      <c r="AS115" t="str">
        <f t="shared" si="20"/>
        <v/>
      </c>
    </row>
    <row r="116" spans="1:45">
      <c r="A116" s="294"/>
      <c r="B116" s="295"/>
      <c r="C116" s="296"/>
      <c r="D116" s="296"/>
      <c r="E116" s="296"/>
      <c r="F116" s="296"/>
      <c r="G116" s="297"/>
      <c r="H116" s="303"/>
      <c r="I116" s="298"/>
      <c r="J116" s="298"/>
      <c r="K116" s="299"/>
      <c r="L116" s="304"/>
      <c r="M116" s="300"/>
      <c r="N116" s="301"/>
      <c r="P116" s="193" t="str">
        <f>IF(R116 = "", "", COUNT(R$4:$R116))</f>
        <v/>
      </c>
      <c r="Q116" s="193" t="str">
        <f t="shared" si="11"/>
        <v/>
      </c>
      <c r="R116" s="194" t="str">
        <f t="shared" si="12"/>
        <v/>
      </c>
      <c r="S116" s="195" t="str">
        <f t="shared" si="14"/>
        <v/>
      </c>
      <c r="T116" s="196" t="str">
        <f t="shared" si="15"/>
        <v/>
      </c>
      <c r="U116" s="197" t="str">
        <f t="shared" si="16"/>
        <v/>
      </c>
      <c r="V116" s="198" t="str">
        <f t="shared" si="13"/>
        <v/>
      </c>
      <c r="W116" s="339" t="str">
        <f t="shared" si="17"/>
        <v/>
      </c>
      <c r="X116" s="341" t="str">
        <f t="shared" si="18"/>
        <v/>
      </c>
      <c r="Y116" s="277"/>
      <c r="AR116" t="str">
        <f t="shared" si="19"/>
        <v/>
      </c>
      <c r="AS116" t="str">
        <f t="shared" si="20"/>
        <v/>
      </c>
    </row>
    <row r="117" spans="1:45">
      <c r="A117" s="294"/>
      <c r="B117" s="295"/>
      <c r="C117" s="296"/>
      <c r="D117" s="296"/>
      <c r="E117" s="296"/>
      <c r="F117" s="296"/>
      <c r="G117" s="297"/>
      <c r="H117" s="303"/>
      <c r="I117" s="298"/>
      <c r="J117" s="298"/>
      <c r="K117" s="299"/>
      <c r="L117" s="304"/>
      <c r="M117" s="300"/>
      <c r="N117" s="301"/>
      <c r="P117" s="193" t="str">
        <f>IF(R117 = "", "", COUNT(R$4:$R117))</f>
        <v/>
      </c>
      <c r="Q117" s="193" t="str">
        <f t="shared" si="11"/>
        <v/>
      </c>
      <c r="R117" s="194" t="str">
        <f t="shared" si="12"/>
        <v/>
      </c>
      <c r="S117" s="195" t="str">
        <f t="shared" si="14"/>
        <v/>
      </c>
      <c r="T117" s="196" t="str">
        <f t="shared" si="15"/>
        <v/>
      </c>
      <c r="U117" s="197" t="str">
        <f t="shared" si="16"/>
        <v/>
      </c>
      <c r="V117" s="198" t="str">
        <f t="shared" si="13"/>
        <v/>
      </c>
      <c r="W117" s="339" t="str">
        <f t="shared" si="17"/>
        <v/>
      </c>
      <c r="X117" s="341" t="str">
        <f t="shared" si="18"/>
        <v/>
      </c>
      <c r="Y117" s="277"/>
      <c r="AR117" t="str">
        <f t="shared" si="19"/>
        <v/>
      </c>
      <c r="AS117" t="str">
        <f t="shared" si="20"/>
        <v/>
      </c>
    </row>
    <row r="118" spans="1:45">
      <c r="A118" s="294"/>
      <c r="B118" s="295"/>
      <c r="C118" s="296"/>
      <c r="D118" s="296"/>
      <c r="E118" s="296"/>
      <c r="F118" s="296"/>
      <c r="G118" s="297"/>
      <c r="H118" s="303"/>
      <c r="I118" s="298"/>
      <c r="J118" s="298"/>
      <c r="K118" s="299"/>
      <c r="L118" s="304"/>
      <c r="M118" s="300"/>
      <c r="N118" s="301"/>
      <c r="P118" s="193" t="str">
        <f>IF(R118 = "", "", COUNT(R$4:$R118))</f>
        <v/>
      </c>
      <c r="Q118" s="193" t="str">
        <f t="shared" si="11"/>
        <v/>
      </c>
      <c r="R118" s="194" t="str">
        <f t="shared" si="12"/>
        <v/>
      </c>
      <c r="S118" s="195" t="str">
        <f t="shared" si="14"/>
        <v/>
      </c>
      <c r="T118" s="196" t="str">
        <f t="shared" si="15"/>
        <v/>
      </c>
      <c r="U118" s="197" t="str">
        <f t="shared" si="16"/>
        <v/>
      </c>
      <c r="V118" s="198" t="str">
        <f t="shared" si="13"/>
        <v/>
      </c>
      <c r="W118" s="339" t="str">
        <f t="shared" si="17"/>
        <v/>
      </c>
      <c r="X118" s="341" t="str">
        <f t="shared" si="18"/>
        <v/>
      </c>
      <c r="Y118" s="277"/>
      <c r="AR118" t="str">
        <f t="shared" si="19"/>
        <v/>
      </c>
      <c r="AS118" t="str">
        <f t="shared" si="20"/>
        <v/>
      </c>
    </row>
    <row r="119" spans="1:45">
      <c r="A119" s="294"/>
      <c r="B119" s="295"/>
      <c r="C119" s="296"/>
      <c r="D119" s="296"/>
      <c r="E119" s="296"/>
      <c r="F119" s="296"/>
      <c r="G119" s="297"/>
      <c r="H119" s="303"/>
      <c r="I119" s="298"/>
      <c r="J119" s="298"/>
      <c r="K119" s="299"/>
      <c r="L119" s="304"/>
      <c r="M119" s="300"/>
      <c r="N119" s="301"/>
      <c r="P119" s="193" t="str">
        <f>IF(R119 = "", "", COUNT(R$4:$R119))</f>
        <v/>
      </c>
      <c r="Q119" s="193" t="str">
        <f t="shared" si="11"/>
        <v/>
      </c>
      <c r="R119" s="194" t="str">
        <f t="shared" si="12"/>
        <v/>
      </c>
      <c r="S119" s="195" t="str">
        <f t="shared" si="14"/>
        <v/>
      </c>
      <c r="T119" s="196" t="str">
        <f t="shared" si="15"/>
        <v/>
      </c>
      <c r="U119" s="197" t="str">
        <f t="shared" si="16"/>
        <v/>
      </c>
      <c r="V119" s="198" t="str">
        <f t="shared" si="13"/>
        <v/>
      </c>
      <c r="W119" s="339" t="str">
        <f t="shared" si="17"/>
        <v/>
      </c>
      <c r="X119" s="341" t="str">
        <f t="shared" si="18"/>
        <v/>
      </c>
      <c r="Y119" s="277"/>
      <c r="AR119" t="str">
        <f t="shared" si="19"/>
        <v/>
      </c>
      <c r="AS119" t="str">
        <f t="shared" si="20"/>
        <v/>
      </c>
    </row>
    <row r="120" spans="1:45">
      <c r="A120" s="294"/>
      <c r="B120" s="295"/>
      <c r="C120" s="296"/>
      <c r="D120" s="296"/>
      <c r="E120" s="296"/>
      <c r="F120" s="296"/>
      <c r="G120" s="297"/>
      <c r="H120" s="303"/>
      <c r="I120" s="298"/>
      <c r="J120" s="298"/>
      <c r="K120" s="299"/>
      <c r="L120" s="304"/>
      <c r="M120" s="300"/>
      <c r="N120" s="301"/>
      <c r="P120" s="193" t="str">
        <f>IF(R120 = "", "", COUNT(R$4:$R120))</f>
        <v/>
      </c>
      <c r="Q120" s="193" t="str">
        <f t="shared" si="11"/>
        <v/>
      </c>
      <c r="R120" s="194" t="str">
        <f t="shared" si="12"/>
        <v/>
      </c>
      <c r="S120" s="195" t="str">
        <f t="shared" si="14"/>
        <v/>
      </c>
      <c r="T120" s="196" t="str">
        <f t="shared" si="15"/>
        <v/>
      </c>
      <c r="U120" s="197" t="str">
        <f t="shared" si="16"/>
        <v/>
      </c>
      <c r="V120" s="198" t="str">
        <f t="shared" si="13"/>
        <v/>
      </c>
      <c r="W120" s="339" t="str">
        <f t="shared" si="17"/>
        <v/>
      </c>
      <c r="X120" s="341" t="str">
        <f t="shared" si="18"/>
        <v/>
      </c>
      <c r="Y120" s="277"/>
      <c r="AR120" t="str">
        <f t="shared" si="19"/>
        <v/>
      </c>
      <c r="AS120" t="str">
        <f t="shared" si="20"/>
        <v/>
      </c>
    </row>
    <row r="121" spans="1:45">
      <c r="A121" s="294"/>
      <c r="B121" s="295"/>
      <c r="C121" s="296"/>
      <c r="D121" s="296"/>
      <c r="E121" s="296"/>
      <c r="F121" s="296"/>
      <c r="G121" s="297"/>
      <c r="H121" s="303"/>
      <c r="I121" s="298"/>
      <c r="J121" s="298"/>
      <c r="K121" s="299"/>
      <c r="L121" s="304"/>
      <c r="M121" s="300"/>
      <c r="N121" s="301"/>
      <c r="P121" s="193" t="str">
        <f>IF(R121 = "", "", COUNT(R$4:$R121))</f>
        <v/>
      </c>
      <c r="Q121" s="193" t="str">
        <f t="shared" si="11"/>
        <v/>
      </c>
      <c r="R121" s="194" t="str">
        <f t="shared" si="12"/>
        <v/>
      </c>
      <c r="S121" s="195" t="str">
        <f t="shared" si="14"/>
        <v/>
      </c>
      <c r="T121" s="196" t="str">
        <f t="shared" si="15"/>
        <v/>
      </c>
      <c r="U121" s="197" t="str">
        <f t="shared" si="16"/>
        <v/>
      </c>
      <c r="V121" s="198" t="str">
        <f t="shared" si="13"/>
        <v/>
      </c>
      <c r="W121" s="339" t="str">
        <f t="shared" si="17"/>
        <v/>
      </c>
      <c r="X121" s="341" t="str">
        <f t="shared" si="18"/>
        <v/>
      </c>
      <c r="Y121" s="277"/>
      <c r="AR121" t="str">
        <f t="shared" si="19"/>
        <v/>
      </c>
      <c r="AS121" t="str">
        <f t="shared" si="20"/>
        <v/>
      </c>
    </row>
    <row r="122" spans="1:45">
      <c r="A122" s="294"/>
      <c r="B122" s="295"/>
      <c r="C122" s="296"/>
      <c r="D122" s="296"/>
      <c r="E122" s="296"/>
      <c r="F122" s="296"/>
      <c r="G122" s="297"/>
      <c r="H122" s="303"/>
      <c r="I122" s="298"/>
      <c r="J122" s="298"/>
      <c r="K122" s="299"/>
      <c r="L122" s="304"/>
      <c r="M122" s="300"/>
      <c r="N122" s="301"/>
      <c r="P122" s="193" t="str">
        <f>IF(R122 = "", "", COUNT(R$4:$R122))</f>
        <v/>
      </c>
      <c r="Q122" s="193" t="str">
        <f t="shared" si="11"/>
        <v/>
      </c>
      <c r="R122" s="194" t="str">
        <f t="shared" si="12"/>
        <v/>
      </c>
      <c r="S122" s="195" t="str">
        <f t="shared" si="14"/>
        <v/>
      </c>
      <c r="T122" s="196" t="str">
        <f t="shared" si="15"/>
        <v/>
      </c>
      <c r="U122" s="197" t="str">
        <f t="shared" si="16"/>
        <v/>
      </c>
      <c r="V122" s="198" t="str">
        <f t="shared" si="13"/>
        <v/>
      </c>
      <c r="W122" s="339" t="str">
        <f t="shared" si="17"/>
        <v/>
      </c>
      <c r="X122" s="341" t="str">
        <f t="shared" si="18"/>
        <v/>
      </c>
      <c r="Y122" s="277"/>
      <c r="AR122" t="str">
        <f t="shared" si="19"/>
        <v/>
      </c>
      <c r="AS122" t="str">
        <f t="shared" si="20"/>
        <v/>
      </c>
    </row>
    <row r="123" spans="1:45">
      <c r="A123" s="294"/>
      <c r="B123" s="295"/>
      <c r="C123" s="296"/>
      <c r="D123" s="296"/>
      <c r="E123" s="296"/>
      <c r="F123" s="296"/>
      <c r="G123" s="297"/>
      <c r="H123" s="303"/>
      <c r="I123" s="298"/>
      <c r="J123" s="298"/>
      <c r="K123" s="299"/>
      <c r="L123" s="304"/>
      <c r="M123" s="300"/>
      <c r="N123" s="301"/>
      <c r="P123" s="193" t="str">
        <f>IF(R123 = "", "", COUNT(R$4:$R123))</f>
        <v/>
      </c>
      <c r="Q123" s="193" t="str">
        <f t="shared" si="11"/>
        <v/>
      </c>
      <c r="R123" s="194" t="str">
        <f t="shared" si="12"/>
        <v/>
      </c>
      <c r="S123" s="195" t="str">
        <f t="shared" si="14"/>
        <v/>
      </c>
      <c r="T123" s="196" t="str">
        <f t="shared" si="15"/>
        <v/>
      </c>
      <c r="U123" s="197" t="str">
        <f t="shared" si="16"/>
        <v/>
      </c>
      <c r="V123" s="198" t="str">
        <f t="shared" si="13"/>
        <v/>
      </c>
      <c r="W123" s="339" t="str">
        <f t="shared" si="17"/>
        <v/>
      </c>
      <c r="X123" s="341" t="str">
        <f t="shared" si="18"/>
        <v/>
      </c>
      <c r="Y123" s="277"/>
      <c r="AR123" t="str">
        <f t="shared" si="19"/>
        <v/>
      </c>
      <c r="AS123" t="str">
        <f t="shared" si="20"/>
        <v/>
      </c>
    </row>
    <row r="124" spans="1:45">
      <c r="A124" s="294"/>
      <c r="B124" s="295"/>
      <c r="C124" s="296"/>
      <c r="D124" s="296"/>
      <c r="E124" s="296"/>
      <c r="F124" s="296"/>
      <c r="G124" s="297"/>
      <c r="H124" s="303"/>
      <c r="I124" s="298"/>
      <c r="J124" s="298"/>
      <c r="K124" s="299"/>
      <c r="L124" s="304"/>
      <c r="M124" s="300"/>
      <c r="N124" s="301"/>
      <c r="P124" s="193" t="str">
        <f>IF(R124 = "", "", COUNT(R$4:$R124))</f>
        <v/>
      </c>
      <c r="Q124" s="193" t="str">
        <f t="shared" si="11"/>
        <v/>
      </c>
      <c r="R124" s="194" t="str">
        <f t="shared" si="12"/>
        <v/>
      </c>
      <c r="S124" s="195" t="str">
        <f t="shared" si="14"/>
        <v/>
      </c>
      <c r="T124" s="196" t="str">
        <f t="shared" si="15"/>
        <v/>
      </c>
      <c r="U124" s="197" t="str">
        <f t="shared" si="16"/>
        <v/>
      </c>
      <c r="V124" s="198" t="str">
        <f t="shared" si="13"/>
        <v/>
      </c>
      <c r="W124" s="339" t="str">
        <f t="shared" si="17"/>
        <v/>
      </c>
      <c r="X124" s="341" t="str">
        <f t="shared" si="18"/>
        <v/>
      </c>
      <c r="Y124" s="277"/>
      <c r="AR124" t="str">
        <f t="shared" si="19"/>
        <v/>
      </c>
      <c r="AS124" t="str">
        <f t="shared" si="20"/>
        <v/>
      </c>
    </row>
    <row r="125" spans="1:45">
      <c r="A125" s="294"/>
      <c r="B125" s="295"/>
      <c r="C125" s="296"/>
      <c r="D125" s="296"/>
      <c r="E125" s="296"/>
      <c r="F125" s="296"/>
      <c r="G125" s="297"/>
      <c r="H125" s="303"/>
      <c r="I125" s="298"/>
      <c r="J125" s="298"/>
      <c r="K125" s="299"/>
      <c r="L125" s="304"/>
      <c r="M125" s="300"/>
      <c r="N125" s="301"/>
      <c r="P125" s="193" t="str">
        <f>IF(R125 = "", "", COUNT(R$4:$R125))</f>
        <v/>
      </c>
      <c r="Q125" s="193" t="str">
        <f t="shared" si="11"/>
        <v/>
      </c>
      <c r="R125" s="194" t="str">
        <f t="shared" si="12"/>
        <v/>
      </c>
      <c r="S125" s="195" t="str">
        <f t="shared" si="14"/>
        <v/>
      </c>
      <c r="T125" s="196" t="str">
        <f t="shared" si="15"/>
        <v/>
      </c>
      <c r="U125" s="197" t="str">
        <f t="shared" si="16"/>
        <v/>
      </c>
      <c r="V125" s="198" t="str">
        <f t="shared" si="13"/>
        <v/>
      </c>
      <c r="W125" s="339" t="str">
        <f t="shared" si="17"/>
        <v/>
      </c>
      <c r="X125" s="341" t="str">
        <f t="shared" si="18"/>
        <v/>
      </c>
      <c r="Y125" s="277"/>
      <c r="AR125" t="str">
        <f t="shared" si="19"/>
        <v/>
      </c>
      <c r="AS125" t="str">
        <f t="shared" si="20"/>
        <v/>
      </c>
    </row>
    <row r="126" spans="1:45">
      <c r="A126" s="294"/>
      <c r="B126" s="295"/>
      <c r="C126" s="296"/>
      <c r="D126" s="296"/>
      <c r="E126" s="296"/>
      <c r="F126" s="296"/>
      <c r="G126" s="297"/>
      <c r="H126" s="303"/>
      <c r="I126" s="298"/>
      <c r="J126" s="298"/>
      <c r="K126" s="299"/>
      <c r="L126" s="304"/>
      <c r="M126" s="300"/>
      <c r="N126" s="301"/>
      <c r="P126" s="193" t="str">
        <f>IF(R126 = "", "", COUNT(R$4:$R126))</f>
        <v/>
      </c>
      <c r="Q126" s="193" t="str">
        <f t="shared" si="11"/>
        <v/>
      </c>
      <c r="R126" s="194" t="str">
        <f t="shared" si="12"/>
        <v/>
      </c>
      <c r="S126" s="195" t="str">
        <f t="shared" si="14"/>
        <v/>
      </c>
      <c r="T126" s="196" t="str">
        <f t="shared" si="15"/>
        <v/>
      </c>
      <c r="U126" s="197" t="str">
        <f t="shared" si="16"/>
        <v/>
      </c>
      <c r="V126" s="198" t="str">
        <f t="shared" si="13"/>
        <v/>
      </c>
      <c r="W126" s="339" t="str">
        <f t="shared" si="17"/>
        <v/>
      </c>
      <c r="X126" s="341" t="str">
        <f t="shared" si="18"/>
        <v/>
      </c>
      <c r="Y126" s="277"/>
      <c r="AR126" t="str">
        <f t="shared" si="19"/>
        <v/>
      </c>
      <c r="AS126" t="str">
        <f t="shared" si="20"/>
        <v/>
      </c>
    </row>
    <row r="127" spans="1:45">
      <c r="A127" s="294"/>
      <c r="B127" s="295"/>
      <c r="C127" s="296"/>
      <c r="D127" s="296"/>
      <c r="E127" s="296"/>
      <c r="F127" s="296"/>
      <c r="G127" s="297"/>
      <c r="H127" s="303"/>
      <c r="I127" s="298"/>
      <c r="J127" s="298"/>
      <c r="K127" s="299"/>
      <c r="L127" s="304"/>
      <c r="M127" s="300"/>
      <c r="N127" s="301"/>
      <c r="P127" s="193" t="str">
        <f>IF(R127 = "", "", COUNT(R$4:$R127))</f>
        <v/>
      </c>
      <c r="Q127" s="193" t="str">
        <f t="shared" si="11"/>
        <v/>
      </c>
      <c r="R127" s="194" t="str">
        <f t="shared" si="12"/>
        <v/>
      </c>
      <c r="S127" s="195" t="str">
        <f t="shared" si="14"/>
        <v/>
      </c>
      <c r="T127" s="196" t="str">
        <f t="shared" si="15"/>
        <v/>
      </c>
      <c r="U127" s="197" t="str">
        <f t="shared" si="16"/>
        <v/>
      </c>
      <c r="V127" s="198" t="str">
        <f t="shared" si="13"/>
        <v/>
      </c>
      <c r="W127" s="339" t="str">
        <f t="shared" si="17"/>
        <v/>
      </c>
      <c r="X127" s="341" t="str">
        <f t="shared" si="18"/>
        <v/>
      </c>
      <c r="Y127" s="277"/>
      <c r="AR127" t="str">
        <f t="shared" si="19"/>
        <v/>
      </c>
      <c r="AS127" t="str">
        <f t="shared" si="20"/>
        <v/>
      </c>
    </row>
    <row r="128" spans="1:45">
      <c r="A128" s="294"/>
      <c r="B128" s="295"/>
      <c r="C128" s="296"/>
      <c r="D128" s="296"/>
      <c r="E128" s="296"/>
      <c r="F128" s="296"/>
      <c r="G128" s="297"/>
      <c r="H128" s="303"/>
      <c r="I128" s="298"/>
      <c r="J128" s="298"/>
      <c r="K128" s="299"/>
      <c r="L128" s="304"/>
      <c r="M128" s="300"/>
      <c r="N128" s="301"/>
      <c r="P128" s="193" t="str">
        <f>IF(R128 = "", "", COUNT(R$4:$R128))</f>
        <v/>
      </c>
      <c r="Q128" s="193" t="str">
        <f t="shared" si="11"/>
        <v/>
      </c>
      <c r="R128" s="194" t="str">
        <f t="shared" si="12"/>
        <v/>
      </c>
      <c r="S128" s="195" t="str">
        <f t="shared" si="14"/>
        <v/>
      </c>
      <c r="T128" s="196" t="str">
        <f t="shared" si="15"/>
        <v/>
      </c>
      <c r="U128" s="197" t="str">
        <f t="shared" si="16"/>
        <v/>
      </c>
      <c r="V128" s="198" t="str">
        <f t="shared" si="13"/>
        <v/>
      </c>
      <c r="W128" s="339" t="str">
        <f t="shared" si="17"/>
        <v/>
      </c>
      <c r="X128" s="341" t="str">
        <f t="shared" si="18"/>
        <v/>
      </c>
      <c r="Y128" s="277"/>
      <c r="AR128" t="str">
        <f t="shared" si="19"/>
        <v/>
      </c>
      <c r="AS128" t="str">
        <f t="shared" si="20"/>
        <v/>
      </c>
    </row>
    <row r="129" spans="1:45">
      <c r="A129" s="294"/>
      <c r="B129" s="295"/>
      <c r="C129" s="296"/>
      <c r="D129" s="296"/>
      <c r="E129" s="296"/>
      <c r="F129" s="296"/>
      <c r="G129" s="297"/>
      <c r="H129" s="303"/>
      <c r="I129" s="298"/>
      <c r="J129" s="298"/>
      <c r="K129" s="299"/>
      <c r="L129" s="304"/>
      <c r="M129" s="300"/>
      <c r="N129" s="301"/>
      <c r="P129" s="193" t="str">
        <f>IF(R129 = "", "", COUNT(R$4:$R129))</f>
        <v/>
      </c>
      <c r="Q129" s="193" t="str">
        <f t="shared" si="11"/>
        <v/>
      </c>
      <c r="R129" s="194" t="str">
        <f t="shared" si="12"/>
        <v/>
      </c>
      <c r="S129" s="195" t="str">
        <f t="shared" si="14"/>
        <v/>
      </c>
      <c r="T129" s="196" t="str">
        <f t="shared" si="15"/>
        <v/>
      </c>
      <c r="U129" s="197" t="str">
        <f t="shared" si="16"/>
        <v/>
      </c>
      <c r="V129" s="198" t="str">
        <f t="shared" si="13"/>
        <v/>
      </c>
      <c r="W129" s="339" t="str">
        <f t="shared" si="17"/>
        <v/>
      </c>
      <c r="X129" s="341" t="str">
        <f t="shared" si="18"/>
        <v/>
      </c>
      <c r="Y129" s="277"/>
      <c r="AR129" t="str">
        <f t="shared" si="19"/>
        <v/>
      </c>
      <c r="AS129" t="str">
        <f t="shared" si="20"/>
        <v/>
      </c>
    </row>
    <row r="130" spans="1:45">
      <c r="A130" s="294"/>
      <c r="B130" s="295"/>
      <c r="C130" s="296"/>
      <c r="D130" s="296"/>
      <c r="E130" s="296"/>
      <c r="F130" s="296"/>
      <c r="G130" s="297"/>
      <c r="H130" s="303"/>
      <c r="I130" s="298"/>
      <c r="J130" s="298"/>
      <c r="K130" s="299"/>
      <c r="L130" s="304"/>
      <c r="M130" s="300"/>
      <c r="N130" s="301"/>
      <c r="P130" s="193" t="str">
        <f>IF(R130 = "", "", COUNT(R$4:$R130))</f>
        <v/>
      </c>
      <c r="Q130" s="193" t="str">
        <f t="shared" si="11"/>
        <v/>
      </c>
      <c r="R130" s="194" t="str">
        <f t="shared" si="12"/>
        <v/>
      </c>
      <c r="S130" s="195" t="str">
        <f t="shared" si="14"/>
        <v/>
      </c>
      <c r="T130" s="196" t="str">
        <f t="shared" si="15"/>
        <v/>
      </c>
      <c r="U130" s="197" t="str">
        <f t="shared" si="16"/>
        <v/>
      </c>
      <c r="V130" s="198" t="str">
        <f t="shared" si="13"/>
        <v/>
      </c>
      <c r="W130" s="339" t="str">
        <f t="shared" si="17"/>
        <v/>
      </c>
      <c r="X130" s="341" t="str">
        <f t="shared" si="18"/>
        <v/>
      </c>
      <c r="Y130" s="277"/>
      <c r="AR130" t="str">
        <f t="shared" si="19"/>
        <v/>
      </c>
      <c r="AS130" t="str">
        <f t="shared" si="20"/>
        <v/>
      </c>
    </row>
    <row r="131" spans="1:45">
      <c r="A131" s="294"/>
      <c r="B131" s="295"/>
      <c r="C131" s="296"/>
      <c r="D131" s="296"/>
      <c r="E131" s="296"/>
      <c r="F131" s="296"/>
      <c r="G131" s="297"/>
      <c r="H131" s="303"/>
      <c r="I131" s="298"/>
      <c r="J131" s="298"/>
      <c r="K131" s="299"/>
      <c r="L131" s="304"/>
      <c r="M131" s="300"/>
      <c r="N131" s="301"/>
      <c r="P131" s="193" t="str">
        <f>IF(R131 = "", "", COUNT(R$4:$R131))</f>
        <v/>
      </c>
      <c r="Q131" s="193" t="str">
        <f t="shared" si="11"/>
        <v/>
      </c>
      <c r="R131" s="194" t="str">
        <f t="shared" si="12"/>
        <v/>
      </c>
      <c r="S131" s="195" t="str">
        <f t="shared" si="14"/>
        <v/>
      </c>
      <c r="T131" s="196" t="str">
        <f t="shared" si="15"/>
        <v/>
      </c>
      <c r="U131" s="197" t="str">
        <f t="shared" si="16"/>
        <v/>
      </c>
      <c r="V131" s="198" t="str">
        <f t="shared" si="13"/>
        <v/>
      </c>
      <c r="W131" s="339" t="str">
        <f t="shared" si="17"/>
        <v/>
      </c>
      <c r="X131" s="341" t="str">
        <f t="shared" si="18"/>
        <v/>
      </c>
      <c r="Y131" s="277"/>
      <c r="AR131" t="str">
        <f t="shared" si="19"/>
        <v/>
      </c>
      <c r="AS131" t="str">
        <f t="shared" si="20"/>
        <v/>
      </c>
    </row>
    <row r="132" spans="1:45">
      <c r="A132" s="294"/>
      <c r="B132" s="295"/>
      <c r="C132" s="296"/>
      <c r="D132" s="296"/>
      <c r="E132" s="296"/>
      <c r="F132" s="296"/>
      <c r="G132" s="297"/>
      <c r="H132" s="303"/>
      <c r="I132" s="298"/>
      <c r="J132" s="298"/>
      <c r="K132" s="299"/>
      <c r="L132" s="304"/>
      <c r="M132" s="300"/>
      <c r="N132" s="301"/>
      <c r="P132" s="193" t="str">
        <f>IF(R132 = "", "", COUNT(R$4:$R132))</f>
        <v/>
      </c>
      <c r="Q132" s="193" t="str">
        <f t="shared" ref="Q132:Q195" si="21">IF(C132 &gt; 0, YEAR(B132), "")</f>
        <v/>
      </c>
      <c r="R132" s="194" t="str">
        <f t="shared" ref="R132:R195" si="22">IF(A132="", "", IF(G132="",1,IF(G132="O",1,IF(G132="C",8.4,IF(G132="B",8.4,IF(G132="A",76.8,IF(G132="K",76.8,"ERR")))))))</f>
        <v/>
      </c>
      <c r="S132" s="195" t="str">
        <f t="shared" si="14"/>
        <v/>
      </c>
      <c r="T132" s="196" t="str">
        <f t="shared" si="15"/>
        <v/>
      </c>
      <c r="U132" s="197" t="str">
        <f t="shared" si="16"/>
        <v/>
      </c>
      <c r="V132" s="198" t="str">
        <f t="shared" ref="V132:V195" si="23">IF(IF(M132&lt;&gt;"",G132,"")=0, "O", IF(M132&lt;&gt;"",G132,""))</f>
        <v/>
      </c>
      <c r="W132" s="339" t="str">
        <f t="shared" si="17"/>
        <v/>
      </c>
      <c r="X132" s="341" t="str">
        <f t="shared" si="18"/>
        <v/>
      </c>
      <c r="Y132" s="277"/>
      <c r="AR132" t="str">
        <f t="shared" si="19"/>
        <v/>
      </c>
      <c r="AS132" t="str">
        <f t="shared" si="20"/>
        <v/>
      </c>
    </row>
    <row r="133" spans="1:45">
      <c r="A133" s="294"/>
      <c r="B133" s="295"/>
      <c r="C133" s="296"/>
      <c r="D133" s="296"/>
      <c r="E133" s="296"/>
      <c r="F133" s="296"/>
      <c r="G133" s="297"/>
      <c r="H133" s="303"/>
      <c r="I133" s="298"/>
      <c r="J133" s="298"/>
      <c r="K133" s="299"/>
      <c r="L133" s="304"/>
      <c r="M133" s="300"/>
      <c r="N133" s="301"/>
      <c r="P133" s="193" t="str">
        <f>IF(R133 = "", "", COUNT(R$4:$R133))</f>
        <v/>
      </c>
      <c r="Q133" s="193" t="str">
        <f t="shared" si="21"/>
        <v/>
      </c>
      <c r="R133" s="194" t="str">
        <f t="shared" si="22"/>
        <v/>
      </c>
      <c r="S133" s="195" t="str">
        <f t="shared" ref="S133:S196" si="24">IF(L133&lt;&gt;"",R133,"")</f>
        <v/>
      </c>
      <c r="T133" s="196" t="str">
        <f t="shared" ref="T133:T196" si="25">IF(IF(L133&lt;&gt;"",G133,"")=0, "O", IF(L133&lt;&gt;"",G133,""))</f>
        <v/>
      </c>
      <c r="U133" s="197" t="str">
        <f t="shared" ref="U133:U196" si="26">IF(M133&lt;&gt;"",R133,"")</f>
        <v/>
      </c>
      <c r="V133" s="198" t="str">
        <f t="shared" si="23"/>
        <v/>
      </c>
      <c r="W133" s="339" t="str">
        <f t="shared" ref="W133:W196" si="27">IF(N133&lt;&gt;"",R133,"")</f>
        <v/>
      </c>
      <c r="X133" s="341" t="str">
        <f t="shared" ref="X133:X196" si="28">IF(IF(N133&lt;&gt;"",G133,"")=0, "O", IF(N133&lt;&gt;"",G133,""))</f>
        <v/>
      </c>
      <c r="Y133" s="277"/>
      <c r="AR133" t="str">
        <f t="shared" ref="AR133:AR196" si="29">IF(P133&gt;0, P133, "")</f>
        <v/>
      </c>
      <c r="AS133" t="str">
        <f t="shared" ref="AS133:AS196" si="30">IF(OR(L133="Y",M133="Y",N133="Y"),"Y","")</f>
        <v/>
      </c>
    </row>
    <row r="134" spans="1:45">
      <c r="A134" s="294"/>
      <c r="B134" s="295"/>
      <c r="C134" s="296"/>
      <c r="D134" s="296"/>
      <c r="E134" s="296"/>
      <c r="F134" s="296"/>
      <c r="G134" s="297"/>
      <c r="H134" s="303"/>
      <c r="I134" s="298"/>
      <c r="J134" s="298"/>
      <c r="K134" s="299"/>
      <c r="L134" s="304"/>
      <c r="M134" s="300"/>
      <c r="N134" s="301"/>
      <c r="P134" s="193" t="str">
        <f>IF(R134 = "", "", COUNT(R$4:$R134))</f>
        <v/>
      </c>
      <c r="Q134" s="193" t="str">
        <f t="shared" si="21"/>
        <v/>
      </c>
      <c r="R134" s="194" t="str">
        <f t="shared" si="22"/>
        <v/>
      </c>
      <c r="S134" s="195" t="str">
        <f t="shared" si="24"/>
        <v/>
      </c>
      <c r="T134" s="196" t="str">
        <f t="shared" si="25"/>
        <v/>
      </c>
      <c r="U134" s="197" t="str">
        <f t="shared" si="26"/>
        <v/>
      </c>
      <c r="V134" s="198" t="str">
        <f t="shared" si="23"/>
        <v/>
      </c>
      <c r="W134" s="339" t="str">
        <f t="shared" si="27"/>
        <v/>
      </c>
      <c r="X134" s="341" t="str">
        <f t="shared" si="28"/>
        <v/>
      </c>
      <c r="Y134" s="277"/>
      <c r="AR134" t="str">
        <f t="shared" si="29"/>
        <v/>
      </c>
      <c r="AS134" t="str">
        <f t="shared" si="30"/>
        <v/>
      </c>
    </row>
    <row r="135" spans="1:45">
      <c r="A135" s="294"/>
      <c r="B135" s="295"/>
      <c r="C135" s="296"/>
      <c r="D135" s="296"/>
      <c r="E135" s="296"/>
      <c r="F135" s="296"/>
      <c r="G135" s="297"/>
      <c r="H135" s="303"/>
      <c r="I135" s="298"/>
      <c r="J135" s="298"/>
      <c r="K135" s="299"/>
      <c r="L135" s="304"/>
      <c r="M135" s="300"/>
      <c r="N135" s="301"/>
      <c r="P135" s="193" t="str">
        <f>IF(R135 = "", "", COUNT(R$4:$R135))</f>
        <v/>
      </c>
      <c r="Q135" s="193" t="str">
        <f t="shared" si="21"/>
        <v/>
      </c>
      <c r="R135" s="194" t="str">
        <f t="shared" si="22"/>
        <v/>
      </c>
      <c r="S135" s="195" t="str">
        <f t="shared" si="24"/>
        <v/>
      </c>
      <c r="T135" s="196" t="str">
        <f t="shared" si="25"/>
        <v/>
      </c>
      <c r="U135" s="197" t="str">
        <f t="shared" si="26"/>
        <v/>
      </c>
      <c r="V135" s="198" t="str">
        <f t="shared" si="23"/>
        <v/>
      </c>
      <c r="W135" s="339" t="str">
        <f t="shared" si="27"/>
        <v/>
      </c>
      <c r="X135" s="341" t="str">
        <f t="shared" si="28"/>
        <v/>
      </c>
      <c r="Y135" s="277"/>
      <c r="AR135" t="str">
        <f t="shared" si="29"/>
        <v/>
      </c>
      <c r="AS135" t="str">
        <f t="shared" si="30"/>
        <v/>
      </c>
    </row>
    <row r="136" spans="1:45">
      <c r="A136" s="294"/>
      <c r="B136" s="295"/>
      <c r="C136" s="296"/>
      <c r="D136" s="296"/>
      <c r="E136" s="296"/>
      <c r="F136" s="296"/>
      <c r="G136" s="297"/>
      <c r="H136" s="303"/>
      <c r="I136" s="298"/>
      <c r="J136" s="298"/>
      <c r="K136" s="299"/>
      <c r="L136" s="304"/>
      <c r="M136" s="300"/>
      <c r="N136" s="301"/>
      <c r="P136" s="193" t="str">
        <f>IF(R136 = "", "", COUNT(R$4:$R136))</f>
        <v/>
      </c>
      <c r="Q136" s="193" t="str">
        <f t="shared" si="21"/>
        <v/>
      </c>
      <c r="R136" s="194" t="str">
        <f t="shared" si="22"/>
        <v/>
      </c>
      <c r="S136" s="195" t="str">
        <f t="shared" si="24"/>
        <v/>
      </c>
      <c r="T136" s="196" t="str">
        <f t="shared" si="25"/>
        <v/>
      </c>
      <c r="U136" s="197" t="str">
        <f t="shared" si="26"/>
        <v/>
      </c>
      <c r="V136" s="198" t="str">
        <f t="shared" si="23"/>
        <v/>
      </c>
      <c r="W136" s="339" t="str">
        <f t="shared" si="27"/>
        <v/>
      </c>
      <c r="X136" s="341" t="str">
        <f t="shared" si="28"/>
        <v/>
      </c>
      <c r="Y136" s="277"/>
      <c r="AR136" t="str">
        <f t="shared" si="29"/>
        <v/>
      </c>
      <c r="AS136" t="str">
        <f t="shared" si="30"/>
        <v/>
      </c>
    </row>
    <row r="137" spans="1:45">
      <c r="A137" s="294"/>
      <c r="B137" s="295"/>
      <c r="C137" s="296"/>
      <c r="D137" s="296"/>
      <c r="E137" s="296"/>
      <c r="F137" s="296"/>
      <c r="G137" s="297"/>
      <c r="H137" s="303"/>
      <c r="I137" s="298"/>
      <c r="J137" s="298"/>
      <c r="K137" s="299"/>
      <c r="L137" s="304"/>
      <c r="M137" s="300"/>
      <c r="N137" s="301"/>
      <c r="P137" s="193" t="str">
        <f>IF(R137 = "", "", COUNT(R$4:$R137))</f>
        <v/>
      </c>
      <c r="Q137" s="193" t="str">
        <f t="shared" si="21"/>
        <v/>
      </c>
      <c r="R137" s="194" t="str">
        <f t="shared" si="22"/>
        <v/>
      </c>
      <c r="S137" s="195" t="str">
        <f t="shared" si="24"/>
        <v/>
      </c>
      <c r="T137" s="196" t="str">
        <f t="shared" si="25"/>
        <v/>
      </c>
      <c r="U137" s="197" t="str">
        <f t="shared" si="26"/>
        <v/>
      </c>
      <c r="V137" s="198" t="str">
        <f t="shared" si="23"/>
        <v/>
      </c>
      <c r="W137" s="339" t="str">
        <f t="shared" si="27"/>
        <v/>
      </c>
      <c r="X137" s="341" t="str">
        <f t="shared" si="28"/>
        <v/>
      </c>
      <c r="Y137" s="277"/>
      <c r="AR137" t="str">
        <f t="shared" si="29"/>
        <v/>
      </c>
      <c r="AS137" t="str">
        <f t="shared" si="30"/>
        <v/>
      </c>
    </row>
    <row r="138" spans="1:45">
      <c r="A138" s="294"/>
      <c r="B138" s="295"/>
      <c r="C138" s="296"/>
      <c r="D138" s="296"/>
      <c r="E138" s="296"/>
      <c r="F138" s="296"/>
      <c r="G138" s="297"/>
      <c r="H138" s="303"/>
      <c r="I138" s="298"/>
      <c r="J138" s="298"/>
      <c r="K138" s="299"/>
      <c r="L138" s="304"/>
      <c r="M138" s="300"/>
      <c r="N138" s="301"/>
      <c r="P138" s="193" t="str">
        <f>IF(R138 = "", "", COUNT(R$4:$R138))</f>
        <v/>
      </c>
      <c r="Q138" s="193" t="str">
        <f t="shared" si="21"/>
        <v/>
      </c>
      <c r="R138" s="194" t="str">
        <f t="shared" si="22"/>
        <v/>
      </c>
      <c r="S138" s="195" t="str">
        <f t="shared" si="24"/>
        <v/>
      </c>
      <c r="T138" s="196" t="str">
        <f t="shared" si="25"/>
        <v/>
      </c>
      <c r="U138" s="197" t="str">
        <f t="shared" si="26"/>
        <v/>
      </c>
      <c r="V138" s="198" t="str">
        <f t="shared" si="23"/>
        <v/>
      </c>
      <c r="W138" s="339" t="str">
        <f t="shared" si="27"/>
        <v/>
      </c>
      <c r="X138" s="341" t="str">
        <f t="shared" si="28"/>
        <v/>
      </c>
      <c r="Y138" s="277"/>
      <c r="AR138" t="str">
        <f t="shared" si="29"/>
        <v/>
      </c>
      <c r="AS138" t="str">
        <f t="shared" si="30"/>
        <v/>
      </c>
    </row>
    <row r="139" spans="1:45">
      <c r="A139" s="294"/>
      <c r="B139" s="295"/>
      <c r="C139" s="296"/>
      <c r="D139" s="296"/>
      <c r="E139" s="296"/>
      <c r="F139" s="296"/>
      <c r="G139" s="297"/>
      <c r="H139" s="303"/>
      <c r="I139" s="298"/>
      <c r="J139" s="298"/>
      <c r="K139" s="299"/>
      <c r="L139" s="304"/>
      <c r="M139" s="300"/>
      <c r="N139" s="301"/>
      <c r="P139" s="193" t="str">
        <f>IF(R139 = "", "", COUNT(R$4:$R139))</f>
        <v/>
      </c>
      <c r="Q139" s="193" t="str">
        <f t="shared" si="21"/>
        <v/>
      </c>
      <c r="R139" s="194" t="str">
        <f t="shared" si="22"/>
        <v/>
      </c>
      <c r="S139" s="195" t="str">
        <f t="shared" si="24"/>
        <v/>
      </c>
      <c r="T139" s="196" t="str">
        <f t="shared" si="25"/>
        <v/>
      </c>
      <c r="U139" s="197" t="str">
        <f t="shared" si="26"/>
        <v/>
      </c>
      <c r="V139" s="198" t="str">
        <f t="shared" si="23"/>
        <v/>
      </c>
      <c r="W139" s="339" t="str">
        <f t="shared" si="27"/>
        <v/>
      </c>
      <c r="X139" s="341" t="str">
        <f t="shared" si="28"/>
        <v/>
      </c>
      <c r="Y139" s="277"/>
      <c r="AR139" t="str">
        <f t="shared" si="29"/>
        <v/>
      </c>
      <c r="AS139" t="str">
        <f t="shared" si="30"/>
        <v/>
      </c>
    </row>
    <row r="140" spans="1:45">
      <c r="A140" s="294"/>
      <c r="B140" s="295"/>
      <c r="C140" s="296"/>
      <c r="D140" s="296"/>
      <c r="E140" s="296"/>
      <c r="F140" s="296"/>
      <c r="G140" s="297"/>
      <c r="H140" s="303"/>
      <c r="I140" s="298"/>
      <c r="J140" s="298"/>
      <c r="K140" s="299"/>
      <c r="L140" s="304"/>
      <c r="M140" s="300"/>
      <c r="N140" s="301"/>
      <c r="P140" s="193" t="str">
        <f>IF(R140 = "", "", COUNT(R$4:$R140))</f>
        <v/>
      </c>
      <c r="Q140" s="193" t="str">
        <f t="shared" si="21"/>
        <v/>
      </c>
      <c r="R140" s="194" t="str">
        <f t="shared" si="22"/>
        <v/>
      </c>
      <c r="S140" s="195" t="str">
        <f t="shared" si="24"/>
        <v/>
      </c>
      <c r="T140" s="196" t="str">
        <f t="shared" si="25"/>
        <v/>
      </c>
      <c r="U140" s="197" t="str">
        <f t="shared" si="26"/>
        <v/>
      </c>
      <c r="V140" s="198" t="str">
        <f t="shared" si="23"/>
        <v/>
      </c>
      <c r="W140" s="339" t="str">
        <f t="shared" si="27"/>
        <v/>
      </c>
      <c r="X140" s="341" t="str">
        <f t="shared" si="28"/>
        <v/>
      </c>
      <c r="Y140" s="277"/>
      <c r="AR140" t="str">
        <f t="shared" si="29"/>
        <v/>
      </c>
      <c r="AS140" t="str">
        <f t="shared" si="30"/>
        <v/>
      </c>
    </row>
    <row r="141" spans="1:45">
      <c r="A141" s="294"/>
      <c r="B141" s="295"/>
      <c r="C141" s="296"/>
      <c r="D141" s="296"/>
      <c r="E141" s="296"/>
      <c r="F141" s="296"/>
      <c r="G141" s="297"/>
      <c r="H141" s="303"/>
      <c r="I141" s="298"/>
      <c r="J141" s="298"/>
      <c r="K141" s="299"/>
      <c r="L141" s="304"/>
      <c r="M141" s="300"/>
      <c r="N141" s="301"/>
      <c r="P141" s="193" t="str">
        <f>IF(R141 = "", "", COUNT(R$4:$R141))</f>
        <v/>
      </c>
      <c r="Q141" s="193" t="str">
        <f t="shared" si="21"/>
        <v/>
      </c>
      <c r="R141" s="194" t="str">
        <f t="shared" si="22"/>
        <v/>
      </c>
      <c r="S141" s="195" t="str">
        <f t="shared" si="24"/>
        <v/>
      </c>
      <c r="T141" s="196" t="str">
        <f t="shared" si="25"/>
        <v/>
      </c>
      <c r="U141" s="197" t="str">
        <f t="shared" si="26"/>
        <v/>
      </c>
      <c r="V141" s="198" t="str">
        <f t="shared" si="23"/>
        <v/>
      </c>
      <c r="W141" s="339" t="str">
        <f t="shared" si="27"/>
        <v/>
      </c>
      <c r="X141" s="341" t="str">
        <f t="shared" si="28"/>
        <v/>
      </c>
      <c r="Y141" s="277"/>
      <c r="AR141" t="str">
        <f t="shared" si="29"/>
        <v/>
      </c>
      <c r="AS141" t="str">
        <f t="shared" si="30"/>
        <v/>
      </c>
    </row>
    <row r="142" spans="1:45">
      <c r="A142" s="294"/>
      <c r="B142" s="295"/>
      <c r="C142" s="296"/>
      <c r="D142" s="296"/>
      <c r="E142" s="296"/>
      <c r="F142" s="296"/>
      <c r="G142" s="297"/>
      <c r="H142" s="303"/>
      <c r="I142" s="298"/>
      <c r="J142" s="298"/>
      <c r="K142" s="299"/>
      <c r="L142" s="304"/>
      <c r="M142" s="300"/>
      <c r="N142" s="301"/>
      <c r="P142" s="193" t="str">
        <f>IF(R142 = "", "", COUNT(R$4:$R142))</f>
        <v/>
      </c>
      <c r="Q142" s="193" t="str">
        <f t="shared" si="21"/>
        <v/>
      </c>
      <c r="R142" s="194" t="str">
        <f t="shared" si="22"/>
        <v/>
      </c>
      <c r="S142" s="195" t="str">
        <f t="shared" si="24"/>
        <v/>
      </c>
      <c r="T142" s="196" t="str">
        <f t="shared" si="25"/>
        <v/>
      </c>
      <c r="U142" s="197" t="str">
        <f t="shared" si="26"/>
        <v/>
      </c>
      <c r="V142" s="198" t="str">
        <f t="shared" si="23"/>
        <v/>
      </c>
      <c r="W142" s="339" t="str">
        <f t="shared" si="27"/>
        <v/>
      </c>
      <c r="X142" s="341" t="str">
        <f t="shared" si="28"/>
        <v/>
      </c>
      <c r="Y142" s="277"/>
      <c r="AR142" t="str">
        <f t="shared" si="29"/>
        <v/>
      </c>
      <c r="AS142" t="str">
        <f t="shared" si="30"/>
        <v/>
      </c>
    </row>
    <row r="143" spans="1:45">
      <c r="A143" s="294"/>
      <c r="B143" s="295"/>
      <c r="C143" s="296"/>
      <c r="D143" s="296"/>
      <c r="E143" s="296"/>
      <c r="F143" s="296"/>
      <c r="G143" s="297"/>
      <c r="H143" s="303"/>
      <c r="I143" s="298"/>
      <c r="J143" s="298"/>
      <c r="K143" s="299"/>
      <c r="L143" s="304"/>
      <c r="M143" s="300"/>
      <c r="N143" s="301"/>
      <c r="P143" s="193" t="str">
        <f>IF(R143 = "", "", COUNT(R$4:$R143))</f>
        <v/>
      </c>
      <c r="Q143" s="193" t="str">
        <f t="shared" si="21"/>
        <v/>
      </c>
      <c r="R143" s="194" t="str">
        <f t="shared" si="22"/>
        <v/>
      </c>
      <c r="S143" s="195" t="str">
        <f t="shared" si="24"/>
        <v/>
      </c>
      <c r="T143" s="196" t="str">
        <f t="shared" si="25"/>
        <v/>
      </c>
      <c r="U143" s="197" t="str">
        <f t="shared" si="26"/>
        <v/>
      </c>
      <c r="V143" s="198" t="str">
        <f t="shared" si="23"/>
        <v/>
      </c>
      <c r="W143" s="339" t="str">
        <f t="shared" si="27"/>
        <v/>
      </c>
      <c r="X143" s="341" t="str">
        <f t="shared" si="28"/>
        <v/>
      </c>
      <c r="Y143" s="277"/>
      <c r="AR143" t="str">
        <f t="shared" si="29"/>
        <v/>
      </c>
      <c r="AS143" t="str">
        <f t="shared" si="30"/>
        <v/>
      </c>
    </row>
    <row r="144" spans="1:45">
      <c r="A144" s="294"/>
      <c r="B144" s="295"/>
      <c r="C144" s="296"/>
      <c r="D144" s="296"/>
      <c r="E144" s="296"/>
      <c r="F144" s="296"/>
      <c r="G144" s="297"/>
      <c r="H144" s="303"/>
      <c r="I144" s="298"/>
      <c r="J144" s="298"/>
      <c r="K144" s="299"/>
      <c r="L144" s="304"/>
      <c r="M144" s="300"/>
      <c r="N144" s="301"/>
      <c r="P144" s="193" t="str">
        <f>IF(R144 = "", "", COUNT(R$4:$R144))</f>
        <v/>
      </c>
      <c r="Q144" s="193" t="str">
        <f t="shared" si="21"/>
        <v/>
      </c>
      <c r="R144" s="194" t="str">
        <f t="shared" si="22"/>
        <v/>
      </c>
      <c r="S144" s="195" t="str">
        <f t="shared" si="24"/>
        <v/>
      </c>
      <c r="T144" s="196" t="str">
        <f t="shared" si="25"/>
        <v/>
      </c>
      <c r="U144" s="197" t="str">
        <f t="shared" si="26"/>
        <v/>
      </c>
      <c r="V144" s="198" t="str">
        <f t="shared" si="23"/>
        <v/>
      </c>
      <c r="W144" s="339" t="str">
        <f t="shared" si="27"/>
        <v/>
      </c>
      <c r="X144" s="341" t="str">
        <f t="shared" si="28"/>
        <v/>
      </c>
      <c r="Y144" s="277"/>
      <c r="AR144" t="str">
        <f t="shared" si="29"/>
        <v/>
      </c>
      <c r="AS144" t="str">
        <f t="shared" si="30"/>
        <v/>
      </c>
    </row>
    <row r="145" spans="1:45">
      <c r="A145" s="294"/>
      <c r="B145" s="295"/>
      <c r="C145" s="296"/>
      <c r="D145" s="296"/>
      <c r="E145" s="296"/>
      <c r="F145" s="296"/>
      <c r="G145" s="297"/>
      <c r="H145" s="303"/>
      <c r="I145" s="298"/>
      <c r="J145" s="298"/>
      <c r="K145" s="299"/>
      <c r="L145" s="304"/>
      <c r="M145" s="300"/>
      <c r="N145" s="301"/>
      <c r="P145" s="193" t="str">
        <f>IF(R145 = "", "", COUNT(R$4:$R145))</f>
        <v/>
      </c>
      <c r="Q145" s="193" t="str">
        <f t="shared" si="21"/>
        <v/>
      </c>
      <c r="R145" s="194" t="str">
        <f t="shared" si="22"/>
        <v/>
      </c>
      <c r="S145" s="195" t="str">
        <f t="shared" si="24"/>
        <v/>
      </c>
      <c r="T145" s="196" t="str">
        <f t="shared" si="25"/>
        <v/>
      </c>
      <c r="U145" s="197" t="str">
        <f t="shared" si="26"/>
        <v/>
      </c>
      <c r="V145" s="198" t="str">
        <f t="shared" si="23"/>
        <v/>
      </c>
      <c r="W145" s="339" t="str">
        <f t="shared" si="27"/>
        <v/>
      </c>
      <c r="X145" s="341" t="str">
        <f t="shared" si="28"/>
        <v/>
      </c>
      <c r="Y145" s="277"/>
      <c r="AR145" t="str">
        <f t="shared" si="29"/>
        <v/>
      </c>
      <c r="AS145" t="str">
        <f t="shared" si="30"/>
        <v/>
      </c>
    </row>
    <row r="146" spans="1:45">
      <c r="A146" s="294"/>
      <c r="B146" s="295"/>
      <c r="C146" s="296"/>
      <c r="D146" s="296"/>
      <c r="E146" s="296"/>
      <c r="F146" s="296"/>
      <c r="G146" s="297"/>
      <c r="H146" s="303"/>
      <c r="I146" s="298"/>
      <c r="J146" s="298"/>
      <c r="K146" s="299"/>
      <c r="L146" s="304"/>
      <c r="M146" s="300"/>
      <c r="N146" s="301"/>
      <c r="P146" s="193" t="str">
        <f>IF(R146 = "", "", COUNT(R$4:$R146))</f>
        <v/>
      </c>
      <c r="Q146" s="193" t="str">
        <f t="shared" si="21"/>
        <v/>
      </c>
      <c r="R146" s="194" t="str">
        <f t="shared" si="22"/>
        <v/>
      </c>
      <c r="S146" s="195" t="str">
        <f t="shared" si="24"/>
        <v/>
      </c>
      <c r="T146" s="196" t="str">
        <f t="shared" si="25"/>
        <v/>
      </c>
      <c r="U146" s="197" t="str">
        <f t="shared" si="26"/>
        <v/>
      </c>
      <c r="V146" s="198" t="str">
        <f t="shared" si="23"/>
        <v/>
      </c>
      <c r="W146" s="339" t="str">
        <f t="shared" si="27"/>
        <v/>
      </c>
      <c r="X146" s="341" t="str">
        <f t="shared" si="28"/>
        <v/>
      </c>
      <c r="Y146" s="277"/>
      <c r="AR146" t="str">
        <f t="shared" si="29"/>
        <v/>
      </c>
      <c r="AS146" t="str">
        <f t="shared" si="30"/>
        <v/>
      </c>
    </row>
    <row r="147" spans="1:45">
      <c r="A147" s="294"/>
      <c r="B147" s="295"/>
      <c r="C147" s="296"/>
      <c r="D147" s="296"/>
      <c r="E147" s="296"/>
      <c r="F147" s="296"/>
      <c r="G147" s="297"/>
      <c r="H147" s="303"/>
      <c r="I147" s="298"/>
      <c r="J147" s="298"/>
      <c r="K147" s="299"/>
      <c r="L147" s="304"/>
      <c r="M147" s="300"/>
      <c r="N147" s="301"/>
      <c r="P147" s="193" t="str">
        <f>IF(R147 = "", "", COUNT(R$4:$R147))</f>
        <v/>
      </c>
      <c r="Q147" s="193" t="str">
        <f t="shared" si="21"/>
        <v/>
      </c>
      <c r="R147" s="194" t="str">
        <f t="shared" si="22"/>
        <v/>
      </c>
      <c r="S147" s="195" t="str">
        <f t="shared" si="24"/>
        <v/>
      </c>
      <c r="T147" s="196" t="str">
        <f t="shared" si="25"/>
        <v/>
      </c>
      <c r="U147" s="197" t="str">
        <f t="shared" si="26"/>
        <v/>
      </c>
      <c r="V147" s="198" t="str">
        <f t="shared" si="23"/>
        <v/>
      </c>
      <c r="W147" s="339" t="str">
        <f t="shared" si="27"/>
        <v/>
      </c>
      <c r="X147" s="341" t="str">
        <f t="shared" si="28"/>
        <v/>
      </c>
      <c r="Y147" s="277"/>
      <c r="AR147" t="str">
        <f t="shared" si="29"/>
        <v/>
      </c>
      <c r="AS147" t="str">
        <f t="shared" si="30"/>
        <v/>
      </c>
    </row>
    <row r="148" spans="1:45">
      <c r="A148" s="294"/>
      <c r="B148" s="295"/>
      <c r="C148" s="296"/>
      <c r="D148" s="296"/>
      <c r="E148" s="296"/>
      <c r="F148" s="296"/>
      <c r="G148" s="297"/>
      <c r="H148" s="303"/>
      <c r="I148" s="298"/>
      <c r="J148" s="298"/>
      <c r="K148" s="299"/>
      <c r="L148" s="304"/>
      <c r="M148" s="300"/>
      <c r="N148" s="301"/>
      <c r="P148" s="193" t="str">
        <f>IF(R148 = "", "", COUNT(R$4:$R148))</f>
        <v/>
      </c>
      <c r="Q148" s="193" t="str">
        <f t="shared" si="21"/>
        <v/>
      </c>
      <c r="R148" s="194" t="str">
        <f t="shared" si="22"/>
        <v/>
      </c>
      <c r="S148" s="195" t="str">
        <f t="shared" si="24"/>
        <v/>
      </c>
      <c r="T148" s="196" t="str">
        <f t="shared" si="25"/>
        <v/>
      </c>
      <c r="U148" s="197" t="str">
        <f t="shared" si="26"/>
        <v/>
      </c>
      <c r="V148" s="198" t="str">
        <f t="shared" si="23"/>
        <v/>
      </c>
      <c r="W148" s="339" t="str">
        <f t="shared" si="27"/>
        <v/>
      </c>
      <c r="X148" s="341" t="str">
        <f t="shared" si="28"/>
        <v/>
      </c>
      <c r="Y148" s="277"/>
      <c r="AR148" t="str">
        <f t="shared" si="29"/>
        <v/>
      </c>
      <c r="AS148" t="str">
        <f t="shared" si="30"/>
        <v/>
      </c>
    </row>
    <row r="149" spans="1:45">
      <c r="A149" s="294"/>
      <c r="B149" s="295"/>
      <c r="C149" s="296"/>
      <c r="D149" s="296"/>
      <c r="E149" s="296"/>
      <c r="F149" s="296"/>
      <c r="G149" s="297"/>
      <c r="H149" s="303"/>
      <c r="I149" s="298"/>
      <c r="J149" s="298"/>
      <c r="K149" s="299"/>
      <c r="L149" s="304"/>
      <c r="M149" s="300"/>
      <c r="N149" s="301"/>
      <c r="P149" s="193" t="str">
        <f>IF(R149 = "", "", COUNT(R$4:$R149))</f>
        <v/>
      </c>
      <c r="Q149" s="193" t="str">
        <f t="shared" si="21"/>
        <v/>
      </c>
      <c r="R149" s="194" t="str">
        <f t="shared" si="22"/>
        <v/>
      </c>
      <c r="S149" s="195" t="str">
        <f t="shared" si="24"/>
        <v/>
      </c>
      <c r="T149" s="196" t="str">
        <f t="shared" si="25"/>
        <v/>
      </c>
      <c r="U149" s="197" t="str">
        <f t="shared" si="26"/>
        <v/>
      </c>
      <c r="V149" s="198" t="str">
        <f t="shared" si="23"/>
        <v/>
      </c>
      <c r="W149" s="339" t="str">
        <f t="shared" si="27"/>
        <v/>
      </c>
      <c r="X149" s="341" t="str">
        <f t="shared" si="28"/>
        <v/>
      </c>
      <c r="Y149" s="277"/>
      <c r="AR149" t="str">
        <f t="shared" si="29"/>
        <v/>
      </c>
      <c r="AS149" t="str">
        <f t="shared" si="30"/>
        <v/>
      </c>
    </row>
    <row r="150" spans="1:45">
      <c r="A150" s="294"/>
      <c r="B150" s="295"/>
      <c r="C150" s="296"/>
      <c r="D150" s="296"/>
      <c r="E150" s="296"/>
      <c r="F150" s="296"/>
      <c r="G150" s="297"/>
      <c r="H150" s="303"/>
      <c r="I150" s="298"/>
      <c r="J150" s="298"/>
      <c r="K150" s="299"/>
      <c r="L150" s="304"/>
      <c r="M150" s="300"/>
      <c r="N150" s="301"/>
      <c r="P150" s="193" t="str">
        <f>IF(R150 = "", "", COUNT(R$4:$R150))</f>
        <v/>
      </c>
      <c r="Q150" s="193" t="str">
        <f t="shared" si="21"/>
        <v/>
      </c>
      <c r="R150" s="194" t="str">
        <f t="shared" si="22"/>
        <v/>
      </c>
      <c r="S150" s="195" t="str">
        <f t="shared" si="24"/>
        <v/>
      </c>
      <c r="T150" s="196" t="str">
        <f t="shared" si="25"/>
        <v/>
      </c>
      <c r="U150" s="197" t="str">
        <f t="shared" si="26"/>
        <v/>
      </c>
      <c r="V150" s="198" t="str">
        <f t="shared" si="23"/>
        <v/>
      </c>
      <c r="W150" s="339" t="str">
        <f t="shared" si="27"/>
        <v/>
      </c>
      <c r="X150" s="341" t="str">
        <f t="shared" si="28"/>
        <v/>
      </c>
      <c r="Y150" s="277"/>
      <c r="AR150" t="str">
        <f t="shared" si="29"/>
        <v/>
      </c>
      <c r="AS150" t="str">
        <f t="shared" si="30"/>
        <v/>
      </c>
    </row>
    <row r="151" spans="1:45">
      <c r="A151" s="294"/>
      <c r="B151" s="295"/>
      <c r="C151" s="296"/>
      <c r="D151" s="296"/>
      <c r="E151" s="296"/>
      <c r="F151" s="296"/>
      <c r="G151" s="297"/>
      <c r="H151" s="303"/>
      <c r="I151" s="298"/>
      <c r="J151" s="298"/>
      <c r="K151" s="299"/>
      <c r="L151" s="304"/>
      <c r="M151" s="300"/>
      <c r="N151" s="301"/>
      <c r="P151" s="193" t="str">
        <f>IF(R151 = "", "", COUNT(R$4:$R151))</f>
        <v/>
      </c>
      <c r="Q151" s="193" t="str">
        <f t="shared" si="21"/>
        <v/>
      </c>
      <c r="R151" s="194" t="str">
        <f t="shared" si="22"/>
        <v/>
      </c>
      <c r="S151" s="195" t="str">
        <f t="shared" si="24"/>
        <v/>
      </c>
      <c r="T151" s="196" t="str">
        <f t="shared" si="25"/>
        <v/>
      </c>
      <c r="U151" s="197" t="str">
        <f t="shared" si="26"/>
        <v/>
      </c>
      <c r="V151" s="198" t="str">
        <f t="shared" si="23"/>
        <v/>
      </c>
      <c r="W151" s="339" t="str">
        <f t="shared" si="27"/>
        <v/>
      </c>
      <c r="X151" s="341" t="str">
        <f t="shared" si="28"/>
        <v/>
      </c>
      <c r="Y151" s="277"/>
      <c r="AR151" t="str">
        <f t="shared" si="29"/>
        <v/>
      </c>
      <c r="AS151" t="str">
        <f t="shared" si="30"/>
        <v/>
      </c>
    </row>
    <row r="152" spans="1:45">
      <c r="A152" s="294"/>
      <c r="B152" s="295"/>
      <c r="C152" s="296"/>
      <c r="D152" s="296"/>
      <c r="E152" s="296"/>
      <c r="F152" s="296"/>
      <c r="G152" s="297"/>
      <c r="H152" s="303"/>
      <c r="I152" s="298"/>
      <c r="J152" s="298"/>
      <c r="K152" s="299"/>
      <c r="L152" s="304"/>
      <c r="M152" s="300"/>
      <c r="N152" s="301"/>
      <c r="P152" s="193" t="str">
        <f>IF(R152 = "", "", COUNT(R$4:$R152))</f>
        <v/>
      </c>
      <c r="Q152" s="193" t="str">
        <f t="shared" si="21"/>
        <v/>
      </c>
      <c r="R152" s="194" t="str">
        <f t="shared" si="22"/>
        <v/>
      </c>
      <c r="S152" s="195" t="str">
        <f t="shared" si="24"/>
        <v/>
      </c>
      <c r="T152" s="196" t="str">
        <f t="shared" si="25"/>
        <v/>
      </c>
      <c r="U152" s="197" t="str">
        <f t="shared" si="26"/>
        <v/>
      </c>
      <c r="V152" s="198" t="str">
        <f t="shared" si="23"/>
        <v/>
      </c>
      <c r="W152" s="339" t="str">
        <f t="shared" si="27"/>
        <v/>
      </c>
      <c r="X152" s="341" t="str">
        <f t="shared" si="28"/>
        <v/>
      </c>
      <c r="Y152" s="277"/>
      <c r="AR152" t="str">
        <f t="shared" si="29"/>
        <v/>
      </c>
      <c r="AS152" t="str">
        <f t="shared" si="30"/>
        <v/>
      </c>
    </row>
    <row r="153" spans="1:45">
      <c r="A153" s="294"/>
      <c r="B153" s="295"/>
      <c r="C153" s="296"/>
      <c r="D153" s="296"/>
      <c r="E153" s="296"/>
      <c r="F153" s="296"/>
      <c r="G153" s="297"/>
      <c r="H153" s="303"/>
      <c r="I153" s="298"/>
      <c r="J153" s="298"/>
      <c r="K153" s="299"/>
      <c r="L153" s="304"/>
      <c r="M153" s="300"/>
      <c r="N153" s="301"/>
      <c r="P153" s="193" t="str">
        <f>IF(R153 = "", "", COUNT(R$4:$R153))</f>
        <v/>
      </c>
      <c r="Q153" s="193" t="str">
        <f t="shared" si="21"/>
        <v/>
      </c>
      <c r="R153" s="194" t="str">
        <f t="shared" si="22"/>
        <v/>
      </c>
      <c r="S153" s="195" t="str">
        <f t="shared" si="24"/>
        <v/>
      </c>
      <c r="T153" s="196" t="str">
        <f t="shared" si="25"/>
        <v/>
      </c>
      <c r="U153" s="197" t="str">
        <f t="shared" si="26"/>
        <v/>
      </c>
      <c r="V153" s="198" t="str">
        <f t="shared" si="23"/>
        <v/>
      </c>
      <c r="W153" s="339" t="str">
        <f t="shared" si="27"/>
        <v/>
      </c>
      <c r="X153" s="341" t="str">
        <f t="shared" si="28"/>
        <v/>
      </c>
      <c r="Y153" s="277"/>
      <c r="AR153" t="str">
        <f t="shared" si="29"/>
        <v/>
      </c>
      <c r="AS153" t="str">
        <f t="shared" si="30"/>
        <v/>
      </c>
    </row>
    <row r="154" spans="1:45">
      <c r="A154" s="294"/>
      <c r="B154" s="295"/>
      <c r="C154" s="296"/>
      <c r="D154" s="296"/>
      <c r="E154" s="296"/>
      <c r="F154" s="296"/>
      <c r="G154" s="297"/>
      <c r="H154" s="303"/>
      <c r="I154" s="298"/>
      <c r="J154" s="298"/>
      <c r="K154" s="299"/>
      <c r="L154" s="304"/>
      <c r="M154" s="300"/>
      <c r="N154" s="301"/>
      <c r="P154" s="193" t="str">
        <f>IF(R154 = "", "", COUNT(R$4:$R154))</f>
        <v/>
      </c>
      <c r="Q154" s="193" t="str">
        <f t="shared" si="21"/>
        <v/>
      </c>
      <c r="R154" s="194" t="str">
        <f t="shared" si="22"/>
        <v/>
      </c>
      <c r="S154" s="195" t="str">
        <f t="shared" si="24"/>
        <v/>
      </c>
      <c r="T154" s="196" t="str">
        <f t="shared" si="25"/>
        <v/>
      </c>
      <c r="U154" s="197" t="str">
        <f t="shared" si="26"/>
        <v/>
      </c>
      <c r="V154" s="198" t="str">
        <f t="shared" si="23"/>
        <v/>
      </c>
      <c r="W154" s="339" t="str">
        <f t="shared" si="27"/>
        <v/>
      </c>
      <c r="X154" s="341" t="str">
        <f t="shared" si="28"/>
        <v/>
      </c>
      <c r="Y154" s="277"/>
      <c r="AR154" t="str">
        <f t="shared" si="29"/>
        <v/>
      </c>
      <c r="AS154" t="str">
        <f t="shared" si="30"/>
        <v/>
      </c>
    </row>
    <row r="155" spans="1:45">
      <c r="A155" s="294"/>
      <c r="B155" s="295"/>
      <c r="C155" s="296"/>
      <c r="D155" s="296"/>
      <c r="E155" s="296"/>
      <c r="F155" s="296"/>
      <c r="G155" s="297"/>
      <c r="H155" s="303"/>
      <c r="I155" s="298"/>
      <c r="J155" s="298"/>
      <c r="K155" s="299"/>
      <c r="L155" s="304"/>
      <c r="M155" s="300"/>
      <c r="N155" s="301"/>
      <c r="P155" s="193" t="str">
        <f>IF(R155 = "", "", COUNT(R$4:$R155))</f>
        <v/>
      </c>
      <c r="Q155" s="193" t="str">
        <f t="shared" si="21"/>
        <v/>
      </c>
      <c r="R155" s="194" t="str">
        <f t="shared" si="22"/>
        <v/>
      </c>
      <c r="S155" s="195" t="str">
        <f t="shared" si="24"/>
        <v/>
      </c>
      <c r="T155" s="196" t="str">
        <f t="shared" si="25"/>
        <v/>
      </c>
      <c r="U155" s="197" t="str">
        <f t="shared" si="26"/>
        <v/>
      </c>
      <c r="V155" s="198" t="str">
        <f t="shared" si="23"/>
        <v/>
      </c>
      <c r="W155" s="339" t="str">
        <f t="shared" si="27"/>
        <v/>
      </c>
      <c r="X155" s="341" t="str">
        <f t="shared" si="28"/>
        <v/>
      </c>
      <c r="Y155" s="277"/>
      <c r="AR155" t="str">
        <f t="shared" si="29"/>
        <v/>
      </c>
      <c r="AS155" t="str">
        <f t="shared" si="30"/>
        <v/>
      </c>
    </row>
    <row r="156" spans="1:45">
      <c r="A156" s="294"/>
      <c r="B156" s="295"/>
      <c r="C156" s="296"/>
      <c r="D156" s="296"/>
      <c r="E156" s="296"/>
      <c r="F156" s="296"/>
      <c r="G156" s="297"/>
      <c r="H156" s="303"/>
      <c r="I156" s="298"/>
      <c r="J156" s="298"/>
      <c r="K156" s="299"/>
      <c r="L156" s="304"/>
      <c r="M156" s="300"/>
      <c r="N156" s="301"/>
      <c r="P156" s="193" t="str">
        <f>IF(R156 = "", "", COUNT(R$4:$R156))</f>
        <v/>
      </c>
      <c r="Q156" s="193" t="str">
        <f t="shared" si="21"/>
        <v/>
      </c>
      <c r="R156" s="194" t="str">
        <f t="shared" si="22"/>
        <v/>
      </c>
      <c r="S156" s="195" t="str">
        <f t="shared" si="24"/>
        <v/>
      </c>
      <c r="T156" s="196" t="str">
        <f t="shared" si="25"/>
        <v/>
      </c>
      <c r="U156" s="197" t="str">
        <f t="shared" si="26"/>
        <v/>
      </c>
      <c r="V156" s="198" t="str">
        <f t="shared" si="23"/>
        <v/>
      </c>
      <c r="W156" s="339" t="str">
        <f t="shared" si="27"/>
        <v/>
      </c>
      <c r="X156" s="341" t="str">
        <f t="shared" si="28"/>
        <v/>
      </c>
      <c r="Y156" s="277"/>
      <c r="AR156" t="str">
        <f t="shared" si="29"/>
        <v/>
      </c>
      <c r="AS156" t="str">
        <f t="shared" si="30"/>
        <v/>
      </c>
    </row>
    <row r="157" spans="1:45">
      <c r="A157" s="294"/>
      <c r="B157" s="295"/>
      <c r="C157" s="296"/>
      <c r="D157" s="296"/>
      <c r="E157" s="296"/>
      <c r="F157" s="296"/>
      <c r="G157" s="297"/>
      <c r="H157" s="303"/>
      <c r="I157" s="298"/>
      <c r="J157" s="298"/>
      <c r="K157" s="299"/>
      <c r="L157" s="304"/>
      <c r="M157" s="300"/>
      <c r="N157" s="301"/>
      <c r="P157" s="193" t="str">
        <f>IF(R157 = "", "", COUNT(R$4:$R157))</f>
        <v/>
      </c>
      <c r="Q157" s="193" t="str">
        <f t="shared" si="21"/>
        <v/>
      </c>
      <c r="R157" s="194" t="str">
        <f t="shared" si="22"/>
        <v/>
      </c>
      <c r="S157" s="195" t="str">
        <f t="shared" si="24"/>
        <v/>
      </c>
      <c r="T157" s="196" t="str">
        <f t="shared" si="25"/>
        <v/>
      </c>
      <c r="U157" s="197" t="str">
        <f t="shared" si="26"/>
        <v/>
      </c>
      <c r="V157" s="198" t="str">
        <f t="shared" si="23"/>
        <v/>
      </c>
      <c r="W157" s="339" t="str">
        <f t="shared" si="27"/>
        <v/>
      </c>
      <c r="X157" s="341" t="str">
        <f t="shared" si="28"/>
        <v/>
      </c>
      <c r="Y157" s="277"/>
      <c r="AR157" t="str">
        <f t="shared" si="29"/>
        <v/>
      </c>
      <c r="AS157" t="str">
        <f t="shared" si="30"/>
        <v/>
      </c>
    </row>
    <row r="158" spans="1:45">
      <c r="A158" s="294"/>
      <c r="B158" s="295"/>
      <c r="C158" s="296"/>
      <c r="D158" s="296"/>
      <c r="E158" s="296"/>
      <c r="F158" s="296"/>
      <c r="G158" s="297"/>
      <c r="H158" s="303"/>
      <c r="I158" s="298"/>
      <c r="J158" s="298"/>
      <c r="K158" s="299"/>
      <c r="L158" s="304"/>
      <c r="M158" s="300"/>
      <c r="N158" s="301"/>
      <c r="P158" s="193" t="str">
        <f>IF(R158 = "", "", COUNT(R$4:$R158))</f>
        <v/>
      </c>
      <c r="Q158" s="193" t="str">
        <f t="shared" si="21"/>
        <v/>
      </c>
      <c r="R158" s="194" t="str">
        <f t="shared" si="22"/>
        <v/>
      </c>
      <c r="S158" s="195" t="str">
        <f t="shared" si="24"/>
        <v/>
      </c>
      <c r="T158" s="196" t="str">
        <f t="shared" si="25"/>
        <v/>
      </c>
      <c r="U158" s="197" t="str">
        <f t="shared" si="26"/>
        <v/>
      </c>
      <c r="V158" s="198" t="str">
        <f t="shared" si="23"/>
        <v/>
      </c>
      <c r="W158" s="339" t="str">
        <f t="shared" si="27"/>
        <v/>
      </c>
      <c r="X158" s="341" t="str">
        <f t="shared" si="28"/>
        <v/>
      </c>
      <c r="Y158" s="277"/>
      <c r="AR158" t="str">
        <f t="shared" si="29"/>
        <v/>
      </c>
      <c r="AS158" t="str">
        <f t="shared" si="30"/>
        <v/>
      </c>
    </row>
    <row r="159" spans="1:45">
      <c r="A159" s="294"/>
      <c r="B159" s="295"/>
      <c r="C159" s="296"/>
      <c r="D159" s="296"/>
      <c r="E159" s="296"/>
      <c r="F159" s="296"/>
      <c r="G159" s="297"/>
      <c r="H159" s="303"/>
      <c r="I159" s="298"/>
      <c r="J159" s="298"/>
      <c r="K159" s="299"/>
      <c r="L159" s="304"/>
      <c r="M159" s="300"/>
      <c r="N159" s="301"/>
      <c r="P159" s="193" t="str">
        <f>IF(R159 = "", "", COUNT(R$4:$R159))</f>
        <v/>
      </c>
      <c r="Q159" s="193" t="str">
        <f t="shared" si="21"/>
        <v/>
      </c>
      <c r="R159" s="194" t="str">
        <f t="shared" si="22"/>
        <v/>
      </c>
      <c r="S159" s="195" t="str">
        <f t="shared" si="24"/>
        <v/>
      </c>
      <c r="T159" s="196" t="str">
        <f t="shared" si="25"/>
        <v/>
      </c>
      <c r="U159" s="197" t="str">
        <f t="shared" si="26"/>
        <v/>
      </c>
      <c r="V159" s="198" t="str">
        <f t="shared" si="23"/>
        <v/>
      </c>
      <c r="W159" s="339" t="str">
        <f t="shared" si="27"/>
        <v/>
      </c>
      <c r="X159" s="341" t="str">
        <f t="shared" si="28"/>
        <v/>
      </c>
      <c r="Y159" s="277"/>
      <c r="AR159" t="str">
        <f t="shared" si="29"/>
        <v/>
      </c>
      <c r="AS159" t="str">
        <f t="shared" si="30"/>
        <v/>
      </c>
    </row>
    <row r="160" spans="1:45">
      <c r="A160" s="294"/>
      <c r="B160" s="295"/>
      <c r="C160" s="296"/>
      <c r="D160" s="296"/>
      <c r="E160" s="296"/>
      <c r="F160" s="296"/>
      <c r="G160" s="297"/>
      <c r="H160" s="303"/>
      <c r="I160" s="298"/>
      <c r="J160" s="298"/>
      <c r="K160" s="299"/>
      <c r="L160" s="304"/>
      <c r="M160" s="300"/>
      <c r="N160" s="301"/>
      <c r="P160" s="193" t="str">
        <f>IF(R160 = "", "", COUNT(R$4:$R160))</f>
        <v/>
      </c>
      <c r="Q160" s="193" t="str">
        <f t="shared" si="21"/>
        <v/>
      </c>
      <c r="R160" s="194" t="str">
        <f t="shared" si="22"/>
        <v/>
      </c>
      <c r="S160" s="195" t="str">
        <f t="shared" si="24"/>
        <v/>
      </c>
      <c r="T160" s="196" t="str">
        <f t="shared" si="25"/>
        <v/>
      </c>
      <c r="U160" s="197" t="str">
        <f t="shared" si="26"/>
        <v/>
      </c>
      <c r="V160" s="198" t="str">
        <f t="shared" si="23"/>
        <v/>
      </c>
      <c r="W160" s="339" t="str">
        <f t="shared" si="27"/>
        <v/>
      </c>
      <c r="X160" s="341" t="str">
        <f t="shared" si="28"/>
        <v/>
      </c>
      <c r="Y160" s="277"/>
      <c r="AR160" t="str">
        <f t="shared" si="29"/>
        <v/>
      </c>
      <c r="AS160" t="str">
        <f t="shared" si="30"/>
        <v/>
      </c>
    </row>
    <row r="161" spans="1:45">
      <c r="A161" s="294"/>
      <c r="B161" s="295"/>
      <c r="C161" s="296"/>
      <c r="D161" s="296"/>
      <c r="E161" s="296"/>
      <c r="F161" s="296"/>
      <c r="G161" s="297"/>
      <c r="H161" s="303"/>
      <c r="I161" s="298"/>
      <c r="J161" s="298"/>
      <c r="K161" s="299"/>
      <c r="L161" s="304"/>
      <c r="M161" s="300"/>
      <c r="N161" s="301"/>
      <c r="P161" s="193" t="str">
        <f>IF(R161 = "", "", COUNT(R$4:$R161))</f>
        <v/>
      </c>
      <c r="Q161" s="193" t="str">
        <f t="shared" si="21"/>
        <v/>
      </c>
      <c r="R161" s="194" t="str">
        <f t="shared" si="22"/>
        <v/>
      </c>
      <c r="S161" s="195" t="str">
        <f t="shared" si="24"/>
        <v/>
      </c>
      <c r="T161" s="196" t="str">
        <f t="shared" si="25"/>
        <v/>
      </c>
      <c r="U161" s="197" t="str">
        <f t="shared" si="26"/>
        <v/>
      </c>
      <c r="V161" s="198" t="str">
        <f t="shared" si="23"/>
        <v/>
      </c>
      <c r="W161" s="339" t="str">
        <f t="shared" si="27"/>
        <v/>
      </c>
      <c r="X161" s="341" t="str">
        <f t="shared" si="28"/>
        <v/>
      </c>
      <c r="Y161" s="277"/>
      <c r="AR161" t="str">
        <f t="shared" si="29"/>
        <v/>
      </c>
      <c r="AS161" t="str">
        <f t="shared" si="30"/>
        <v/>
      </c>
    </row>
    <row r="162" spans="1:45">
      <c r="A162" s="294"/>
      <c r="B162" s="295"/>
      <c r="C162" s="296"/>
      <c r="D162" s="296"/>
      <c r="E162" s="296"/>
      <c r="F162" s="296"/>
      <c r="G162" s="297"/>
      <c r="H162" s="303"/>
      <c r="I162" s="298"/>
      <c r="J162" s="298"/>
      <c r="K162" s="299"/>
      <c r="L162" s="304"/>
      <c r="M162" s="300"/>
      <c r="N162" s="301"/>
      <c r="P162" s="193" t="str">
        <f>IF(R162 = "", "", COUNT(R$4:$R162))</f>
        <v/>
      </c>
      <c r="Q162" s="193" t="str">
        <f t="shared" si="21"/>
        <v/>
      </c>
      <c r="R162" s="194" t="str">
        <f t="shared" si="22"/>
        <v/>
      </c>
      <c r="S162" s="195" t="str">
        <f t="shared" si="24"/>
        <v/>
      </c>
      <c r="T162" s="196" t="str">
        <f t="shared" si="25"/>
        <v/>
      </c>
      <c r="U162" s="197" t="str">
        <f t="shared" si="26"/>
        <v/>
      </c>
      <c r="V162" s="198" t="str">
        <f t="shared" si="23"/>
        <v/>
      </c>
      <c r="W162" s="339" t="str">
        <f t="shared" si="27"/>
        <v/>
      </c>
      <c r="X162" s="341" t="str">
        <f t="shared" si="28"/>
        <v/>
      </c>
      <c r="Y162" s="277"/>
      <c r="AR162" t="str">
        <f t="shared" si="29"/>
        <v/>
      </c>
      <c r="AS162" t="str">
        <f t="shared" si="30"/>
        <v/>
      </c>
    </row>
    <row r="163" spans="1:45">
      <c r="A163" s="294"/>
      <c r="B163" s="295"/>
      <c r="C163" s="296"/>
      <c r="D163" s="296"/>
      <c r="E163" s="296"/>
      <c r="F163" s="296"/>
      <c r="G163" s="297"/>
      <c r="H163" s="303"/>
      <c r="I163" s="298"/>
      <c r="J163" s="298"/>
      <c r="K163" s="299"/>
      <c r="L163" s="304"/>
      <c r="M163" s="300"/>
      <c r="N163" s="301"/>
      <c r="P163" s="193" t="str">
        <f>IF(R163 = "", "", COUNT(R$4:$R163))</f>
        <v/>
      </c>
      <c r="Q163" s="193" t="str">
        <f t="shared" si="21"/>
        <v/>
      </c>
      <c r="R163" s="194" t="str">
        <f t="shared" si="22"/>
        <v/>
      </c>
      <c r="S163" s="195" t="str">
        <f t="shared" si="24"/>
        <v/>
      </c>
      <c r="T163" s="196" t="str">
        <f t="shared" si="25"/>
        <v/>
      </c>
      <c r="U163" s="197" t="str">
        <f t="shared" si="26"/>
        <v/>
      </c>
      <c r="V163" s="198" t="str">
        <f t="shared" si="23"/>
        <v/>
      </c>
      <c r="W163" s="339" t="str">
        <f t="shared" si="27"/>
        <v/>
      </c>
      <c r="X163" s="341" t="str">
        <f t="shared" si="28"/>
        <v/>
      </c>
      <c r="Y163" s="277"/>
      <c r="AR163" t="str">
        <f t="shared" si="29"/>
        <v/>
      </c>
      <c r="AS163" t="str">
        <f t="shared" si="30"/>
        <v/>
      </c>
    </row>
    <row r="164" spans="1:45">
      <c r="A164" s="294"/>
      <c r="B164" s="295"/>
      <c r="C164" s="296"/>
      <c r="D164" s="296"/>
      <c r="E164" s="296"/>
      <c r="F164" s="296"/>
      <c r="G164" s="297"/>
      <c r="H164" s="303"/>
      <c r="I164" s="298"/>
      <c r="J164" s="298"/>
      <c r="K164" s="299"/>
      <c r="L164" s="304"/>
      <c r="M164" s="300"/>
      <c r="N164" s="301"/>
      <c r="P164" s="193" t="str">
        <f>IF(R164 = "", "", COUNT(R$4:$R164))</f>
        <v/>
      </c>
      <c r="Q164" s="193" t="str">
        <f t="shared" si="21"/>
        <v/>
      </c>
      <c r="R164" s="194" t="str">
        <f t="shared" si="22"/>
        <v/>
      </c>
      <c r="S164" s="195" t="str">
        <f t="shared" si="24"/>
        <v/>
      </c>
      <c r="T164" s="196" t="str">
        <f t="shared" si="25"/>
        <v/>
      </c>
      <c r="U164" s="197" t="str">
        <f t="shared" si="26"/>
        <v/>
      </c>
      <c r="V164" s="198" t="str">
        <f t="shared" si="23"/>
        <v/>
      </c>
      <c r="W164" s="339" t="str">
        <f t="shared" si="27"/>
        <v/>
      </c>
      <c r="X164" s="341" t="str">
        <f t="shared" si="28"/>
        <v/>
      </c>
      <c r="Y164" s="277"/>
      <c r="AR164" t="str">
        <f t="shared" si="29"/>
        <v/>
      </c>
      <c r="AS164" t="str">
        <f t="shared" si="30"/>
        <v/>
      </c>
    </row>
    <row r="165" spans="1:45">
      <c r="A165" s="294"/>
      <c r="B165" s="295"/>
      <c r="C165" s="296"/>
      <c r="D165" s="296"/>
      <c r="E165" s="296"/>
      <c r="F165" s="296"/>
      <c r="G165" s="297"/>
      <c r="H165" s="303"/>
      <c r="I165" s="298"/>
      <c r="J165" s="298"/>
      <c r="K165" s="299"/>
      <c r="L165" s="304"/>
      <c r="M165" s="300"/>
      <c r="N165" s="301"/>
      <c r="P165" s="193" t="str">
        <f>IF(R165 = "", "", COUNT(R$4:$R165))</f>
        <v/>
      </c>
      <c r="Q165" s="193" t="str">
        <f t="shared" si="21"/>
        <v/>
      </c>
      <c r="R165" s="194" t="str">
        <f t="shared" si="22"/>
        <v/>
      </c>
      <c r="S165" s="195" t="str">
        <f t="shared" si="24"/>
        <v/>
      </c>
      <c r="T165" s="196" t="str">
        <f t="shared" si="25"/>
        <v/>
      </c>
      <c r="U165" s="197" t="str">
        <f t="shared" si="26"/>
        <v/>
      </c>
      <c r="V165" s="198" t="str">
        <f t="shared" si="23"/>
        <v/>
      </c>
      <c r="W165" s="339" t="str">
        <f t="shared" si="27"/>
        <v/>
      </c>
      <c r="X165" s="341" t="str">
        <f t="shared" si="28"/>
        <v/>
      </c>
      <c r="Y165" s="277"/>
      <c r="AR165" t="str">
        <f t="shared" si="29"/>
        <v/>
      </c>
      <c r="AS165" t="str">
        <f t="shared" si="30"/>
        <v/>
      </c>
    </row>
    <row r="166" spans="1:45">
      <c r="A166" s="294"/>
      <c r="B166" s="295"/>
      <c r="C166" s="296"/>
      <c r="D166" s="296"/>
      <c r="E166" s="296"/>
      <c r="F166" s="296"/>
      <c r="G166" s="297"/>
      <c r="H166" s="303"/>
      <c r="I166" s="298"/>
      <c r="J166" s="298"/>
      <c r="K166" s="299"/>
      <c r="L166" s="304"/>
      <c r="M166" s="300"/>
      <c r="N166" s="301"/>
      <c r="P166" s="193" t="str">
        <f>IF(R166 = "", "", COUNT(R$4:$R166))</f>
        <v/>
      </c>
      <c r="Q166" s="193" t="str">
        <f t="shared" si="21"/>
        <v/>
      </c>
      <c r="R166" s="194" t="str">
        <f t="shared" si="22"/>
        <v/>
      </c>
      <c r="S166" s="195" t="str">
        <f t="shared" si="24"/>
        <v/>
      </c>
      <c r="T166" s="196" t="str">
        <f t="shared" si="25"/>
        <v/>
      </c>
      <c r="U166" s="197" t="str">
        <f t="shared" si="26"/>
        <v/>
      </c>
      <c r="V166" s="198" t="str">
        <f t="shared" si="23"/>
        <v/>
      </c>
      <c r="W166" s="339" t="str">
        <f t="shared" si="27"/>
        <v/>
      </c>
      <c r="X166" s="341" t="str">
        <f t="shared" si="28"/>
        <v/>
      </c>
      <c r="Y166" s="277"/>
      <c r="AR166" t="str">
        <f t="shared" si="29"/>
        <v/>
      </c>
      <c r="AS166" t="str">
        <f t="shared" si="30"/>
        <v/>
      </c>
    </row>
    <row r="167" spans="1:45">
      <c r="A167" s="294"/>
      <c r="B167" s="295"/>
      <c r="C167" s="296"/>
      <c r="D167" s="296"/>
      <c r="E167" s="296"/>
      <c r="F167" s="296"/>
      <c r="G167" s="297"/>
      <c r="H167" s="303"/>
      <c r="I167" s="298"/>
      <c r="J167" s="298"/>
      <c r="K167" s="299"/>
      <c r="L167" s="304"/>
      <c r="M167" s="300"/>
      <c r="N167" s="301"/>
      <c r="P167" s="193" t="str">
        <f>IF(R167 = "", "", COUNT(R$4:$R167))</f>
        <v/>
      </c>
      <c r="Q167" s="193" t="str">
        <f t="shared" si="21"/>
        <v/>
      </c>
      <c r="R167" s="194" t="str">
        <f t="shared" si="22"/>
        <v/>
      </c>
      <c r="S167" s="195" t="str">
        <f t="shared" si="24"/>
        <v/>
      </c>
      <c r="T167" s="196" t="str">
        <f t="shared" si="25"/>
        <v/>
      </c>
      <c r="U167" s="197" t="str">
        <f t="shared" si="26"/>
        <v/>
      </c>
      <c r="V167" s="198" t="str">
        <f t="shared" si="23"/>
        <v/>
      </c>
      <c r="W167" s="339" t="str">
        <f t="shared" si="27"/>
        <v/>
      </c>
      <c r="X167" s="341" t="str">
        <f t="shared" si="28"/>
        <v/>
      </c>
      <c r="Y167" s="277"/>
      <c r="AR167" t="str">
        <f t="shared" si="29"/>
        <v/>
      </c>
      <c r="AS167" t="str">
        <f t="shared" si="30"/>
        <v/>
      </c>
    </row>
    <row r="168" spans="1:45">
      <c r="A168" s="294"/>
      <c r="B168" s="295"/>
      <c r="C168" s="296"/>
      <c r="D168" s="296"/>
      <c r="E168" s="296"/>
      <c r="F168" s="296"/>
      <c r="G168" s="297"/>
      <c r="H168" s="303"/>
      <c r="I168" s="298"/>
      <c r="J168" s="298"/>
      <c r="K168" s="299"/>
      <c r="L168" s="304"/>
      <c r="M168" s="300"/>
      <c r="N168" s="301"/>
      <c r="P168" s="193" t="str">
        <f>IF(R168 = "", "", COUNT(R$4:$R168))</f>
        <v/>
      </c>
      <c r="Q168" s="193" t="str">
        <f t="shared" si="21"/>
        <v/>
      </c>
      <c r="R168" s="194" t="str">
        <f t="shared" si="22"/>
        <v/>
      </c>
      <c r="S168" s="195" t="str">
        <f t="shared" si="24"/>
        <v/>
      </c>
      <c r="T168" s="196" t="str">
        <f t="shared" si="25"/>
        <v/>
      </c>
      <c r="U168" s="197" t="str">
        <f t="shared" si="26"/>
        <v/>
      </c>
      <c r="V168" s="198" t="str">
        <f t="shared" si="23"/>
        <v/>
      </c>
      <c r="W168" s="339" t="str">
        <f t="shared" si="27"/>
        <v/>
      </c>
      <c r="X168" s="341" t="str">
        <f t="shared" si="28"/>
        <v/>
      </c>
      <c r="Y168" s="277"/>
      <c r="AR168" t="str">
        <f t="shared" si="29"/>
        <v/>
      </c>
      <c r="AS168" t="str">
        <f t="shared" si="30"/>
        <v/>
      </c>
    </row>
    <row r="169" spans="1:45">
      <c r="A169" s="294"/>
      <c r="B169" s="295"/>
      <c r="C169" s="296"/>
      <c r="D169" s="296"/>
      <c r="E169" s="296"/>
      <c r="F169" s="296"/>
      <c r="G169" s="297"/>
      <c r="H169" s="303"/>
      <c r="I169" s="298"/>
      <c r="J169" s="298"/>
      <c r="K169" s="299"/>
      <c r="L169" s="304"/>
      <c r="M169" s="300"/>
      <c r="N169" s="301"/>
      <c r="P169" s="193" t="str">
        <f>IF(R169 = "", "", COUNT(R$4:$R169))</f>
        <v/>
      </c>
      <c r="Q169" s="193" t="str">
        <f t="shared" si="21"/>
        <v/>
      </c>
      <c r="R169" s="194" t="str">
        <f t="shared" si="22"/>
        <v/>
      </c>
      <c r="S169" s="195" t="str">
        <f t="shared" si="24"/>
        <v/>
      </c>
      <c r="T169" s="196" t="str">
        <f t="shared" si="25"/>
        <v/>
      </c>
      <c r="U169" s="197" t="str">
        <f t="shared" si="26"/>
        <v/>
      </c>
      <c r="V169" s="198" t="str">
        <f t="shared" si="23"/>
        <v/>
      </c>
      <c r="W169" s="339" t="str">
        <f t="shared" si="27"/>
        <v/>
      </c>
      <c r="X169" s="341" t="str">
        <f t="shared" si="28"/>
        <v/>
      </c>
      <c r="Y169" s="277"/>
      <c r="AR169" t="str">
        <f t="shared" si="29"/>
        <v/>
      </c>
      <c r="AS169" t="str">
        <f t="shared" si="30"/>
        <v/>
      </c>
    </row>
    <row r="170" spans="1:45">
      <c r="A170" s="294"/>
      <c r="B170" s="295"/>
      <c r="C170" s="296"/>
      <c r="D170" s="296"/>
      <c r="E170" s="296"/>
      <c r="F170" s="296"/>
      <c r="G170" s="297"/>
      <c r="H170" s="303"/>
      <c r="I170" s="298"/>
      <c r="J170" s="298"/>
      <c r="K170" s="299"/>
      <c r="L170" s="304"/>
      <c r="M170" s="300"/>
      <c r="N170" s="301"/>
      <c r="P170" s="193" t="str">
        <f>IF(R170 = "", "", COUNT(R$4:$R170))</f>
        <v/>
      </c>
      <c r="Q170" s="193" t="str">
        <f t="shared" si="21"/>
        <v/>
      </c>
      <c r="R170" s="194" t="str">
        <f t="shared" si="22"/>
        <v/>
      </c>
      <c r="S170" s="195" t="str">
        <f t="shared" si="24"/>
        <v/>
      </c>
      <c r="T170" s="196" t="str">
        <f t="shared" si="25"/>
        <v/>
      </c>
      <c r="U170" s="197" t="str">
        <f t="shared" si="26"/>
        <v/>
      </c>
      <c r="V170" s="198" t="str">
        <f t="shared" si="23"/>
        <v/>
      </c>
      <c r="W170" s="339" t="str">
        <f t="shared" si="27"/>
        <v/>
      </c>
      <c r="X170" s="341" t="str">
        <f t="shared" si="28"/>
        <v/>
      </c>
      <c r="Y170" s="277"/>
      <c r="AR170" t="str">
        <f t="shared" si="29"/>
        <v/>
      </c>
      <c r="AS170" t="str">
        <f t="shared" si="30"/>
        <v/>
      </c>
    </row>
    <row r="171" spans="1:45">
      <c r="A171" s="294"/>
      <c r="B171" s="295"/>
      <c r="C171" s="296"/>
      <c r="D171" s="296"/>
      <c r="E171" s="296"/>
      <c r="F171" s="296"/>
      <c r="G171" s="297"/>
      <c r="H171" s="303"/>
      <c r="I171" s="298"/>
      <c r="J171" s="298"/>
      <c r="K171" s="299"/>
      <c r="L171" s="304"/>
      <c r="M171" s="300"/>
      <c r="N171" s="301"/>
      <c r="P171" s="193" t="str">
        <f>IF(R171 = "", "", COUNT(R$4:$R171))</f>
        <v/>
      </c>
      <c r="Q171" s="193" t="str">
        <f t="shared" si="21"/>
        <v/>
      </c>
      <c r="R171" s="194" t="str">
        <f t="shared" si="22"/>
        <v/>
      </c>
      <c r="S171" s="195" t="str">
        <f t="shared" si="24"/>
        <v/>
      </c>
      <c r="T171" s="196" t="str">
        <f t="shared" si="25"/>
        <v/>
      </c>
      <c r="U171" s="197" t="str">
        <f t="shared" si="26"/>
        <v/>
      </c>
      <c r="V171" s="198" t="str">
        <f t="shared" si="23"/>
        <v/>
      </c>
      <c r="W171" s="339" t="str">
        <f t="shared" si="27"/>
        <v/>
      </c>
      <c r="X171" s="341" t="str">
        <f t="shared" si="28"/>
        <v/>
      </c>
      <c r="Y171" s="277"/>
      <c r="AR171" t="str">
        <f t="shared" si="29"/>
        <v/>
      </c>
      <c r="AS171" t="str">
        <f t="shared" si="30"/>
        <v/>
      </c>
    </row>
    <row r="172" spans="1:45">
      <c r="A172" s="294"/>
      <c r="B172" s="295"/>
      <c r="C172" s="296"/>
      <c r="D172" s="296"/>
      <c r="E172" s="296"/>
      <c r="F172" s="296"/>
      <c r="G172" s="297"/>
      <c r="H172" s="303"/>
      <c r="I172" s="298"/>
      <c r="J172" s="298"/>
      <c r="K172" s="299"/>
      <c r="L172" s="304"/>
      <c r="M172" s="300"/>
      <c r="N172" s="301"/>
      <c r="P172" s="193" t="str">
        <f>IF(R172 = "", "", COUNT(R$4:$R172))</f>
        <v/>
      </c>
      <c r="Q172" s="193" t="str">
        <f t="shared" si="21"/>
        <v/>
      </c>
      <c r="R172" s="194" t="str">
        <f t="shared" si="22"/>
        <v/>
      </c>
      <c r="S172" s="195" t="str">
        <f t="shared" si="24"/>
        <v/>
      </c>
      <c r="T172" s="196" t="str">
        <f t="shared" si="25"/>
        <v/>
      </c>
      <c r="U172" s="197" t="str">
        <f t="shared" si="26"/>
        <v/>
      </c>
      <c r="V172" s="198" t="str">
        <f t="shared" si="23"/>
        <v/>
      </c>
      <c r="W172" s="339" t="str">
        <f t="shared" si="27"/>
        <v/>
      </c>
      <c r="X172" s="341" t="str">
        <f t="shared" si="28"/>
        <v/>
      </c>
      <c r="Y172" s="277"/>
      <c r="AR172" t="str">
        <f t="shared" si="29"/>
        <v/>
      </c>
      <c r="AS172" t="str">
        <f t="shared" si="30"/>
        <v/>
      </c>
    </row>
    <row r="173" spans="1:45">
      <c r="A173" s="294"/>
      <c r="B173" s="295"/>
      <c r="C173" s="296"/>
      <c r="D173" s="296"/>
      <c r="E173" s="296"/>
      <c r="F173" s="296"/>
      <c r="G173" s="297"/>
      <c r="H173" s="303"/>
      <c r="I173" s="298"/>
      <c r="J173" s="298"/>
      <c r="K173" s="299"/>
      <c r="L173" s="304"/>
      <c r="M173" s="300"/>
      <c r="N173" s="301"/>
      <c r="P173" s="193" t="str">
        <f>IF(R173 = "", "", COUNT(R$4:$R173))</f>
        <v/>
      </c>
      <c r="Q173" s="193" t="str">
        <f t="shared" si="21"/>
        <v/>
      </c>
      <c r="R173" s="194" t="str">
        <f t="shared" si="22"/>
        <v/>
      </c>
      <c r="S173" s="195" t="str">
        <f t="shared" si="24"/>
        <v/>
      </c>
      <c r="T173" s="196" t="str">
        <f t="shared" si="25"/>
        <v/>
      </c>
      <c r="U173" s="197" t="str">
        <f t="shared" si="26"/>
        <v/>
      </c>
      <c r="V173" s="198" t="str">
        <f t="shared" si="23"/>
        <v/>
      </c>
      <c r="W173" s="339" t="str">
        <f t="shared" si="27"/>
        <v/>
      </c>
      <c r="X173" s="341" t="str">
        <f t="shared" si="28"/>
        <v/>
      </c>
      <c r="Y173" s="277"/>
      <c r="AR173" t="str">
        <f t="shared" si="29"/>
        <v/>
      </c>
      <c r="AS173" t="str">
        <f t="shared" si="30"/>
        <v/>
      </c>
    </row>
    <row r="174" spans="1:45">
      <c r="A174" s="294"/>
      <c r="B174" s="295"/>
      <c r="C174" s="296"/>
      <c r="D174" s="296"/>
      <c r="E174" s="296"/>
      <c r="F174" s="296"/>
      <c r="G174" s="297"/>
      <c r="H174" s="303"/>
      <c r="I174" s="298"/>
      <c r="J174" s="298"/>
      <c r="K174" s="299"/>
      <c r="L174" s="304"/>
      <c r="M174" s="300"/>
      <c r="N174" s="301"/>
      <c r="P174" s="193" t="str">
        <f>IF(R174 = "", "", COUNT(R$4:$R174))</f>
        <v/>
      </c>
      <c r="Q174" s="193" t="str">
        <f t="shared" si="21"/>
        <v/>
      </c>
      <c r="R174" s="194" t="str">
        <f t="shared" si="22"/>
        <v/>
      </c>
      <c r="S174" s="195" t="str">
        <f t="shared" si="24"/>
        <v/>
      </c>
      <c r="T174" s="196" t="str">
        <f t="shared" si="25"/>
        <v/>
      </c>
      <c r="U174" s="197" t="str">
        <f t="shared" si="26"/>
        <v/>
      </c>
      <c r="V174" s="198" t="str">
        <f t="shared" si="23"/>
        <v/>
      </c>
      <c r="W174" s="339" t="str">
        <f t="shared" si="27"/>
        <v/>
      </c>
      <c r="X174" s="341" t="str">
        <f t="shared" si="28"/>
        <v/>
      </c>
      <c r="Y174" s="277"/>
      <c r="AR174" t="str">
        <f t="shared" si="29"/>
        <v/>
      </c>
      <c r="AS174" t="str">
        <f t="shared" si="30"/>
        <v/>
      </c>
    </row>
    <row r="175" spans="1:45">
      <c r="A175" s="294"/>
      <c r="B175" s="295"/>
      <c r="C175" s="296"/>
      <c r="D175" s="296"/>
      <c r="E175" s="296"/>
      <c r="F175" s="296"/>
      <c r="G175" s="297"/>
      <c r="H175" s="303"/>
      <c r="I175" s="298"/>
      <c r="J175" s="298"/>
      <c r="K175" s="299"/>
      <c r="L175" s="304"/>
      <c r="M175" s="300"/>
      <c r="N175" s="301"/>
      <c r="P175" s="193" t="str">
        <f>IF(R175 = "", "", COUNT(R$4:$R175))</f>
        <v/>
      </c>
      <c r="Q175" s="193" t="str">
        <f t="shared" si="21"/>
        <v/>
      </c>
      <c r="R175" s="194" t="str">
        <f t="shared" si="22"/>
        <v/>
      </c>
      <c r="S175" s="195" t="str">
        <f t="shared" si="24"/>
        <v/>
      </c>
      <c r="T175" s="196" t="str">
        <f t="shared" si="25"/>
        <v/>
      </c>
      <c r="U175" s="197" t="str">
        <f t="shared" si="26"/>
        <v/>
      </c>
      <c r="V175" s="198" t="str">
        <f t="shared" si="23"/>
        <v/>
      </c>
      <c r="W175" s="339" t="str">
        <f t="shared" si="27"/>
        <v/>
      </c>
      <c r="X175" s="341" t="str">
        <f t="shared" si="28"/>
        <v/>
      </c>
      <c r="Y175" s="277"/>
      <c r="AR175" t="str">
        <f t="shared" si="29"/>
        <v/>
      </c>
      <c r="AS175" t="str">
        <f t="shared" si="30"/>
        <v/>
      </c>
    </row>
    <row r="176" spans="1:45">
      <c r="A176" s="294"/>
      <c r="B176" s="295"/>
      <c r="C176" s="296"/>
      <c r="D176" s="296"/>
      <c r="E176" s="296"/>
      <c r="F176" s="296"/>
      <c r="G176" s="297"/>
      <c r="H176" s="303"/>
      <c r="I176" s="298"/>
      <c r="J176" s="298"/>
      <c r="K176" s="299"/>
      <c r="L176" s="304"/>
      <c r="M176" s="300"/>
      <c r="N176" s="301"/>
      <c r="P176" s="193" t="str">
        <f>IF(R176 = "", "", COUNT(R$4:$R176))</f>
        <v/>
      </c>
      <c r="Q176" s="193" t="str">
        <f t="shared" si="21"/>
        <v/>
      </c>
      <c r="R176" s="194" t="str">
        <f t="shared" si="22"/>
        <v/>
      </c>
      <c r="S176" s="195" t="str">
        <f t="shared" si="24"/>
        <v/>
      </c>
      <c r="T176" s="196" t="str">
        <f t="shared" si="25"/>
        <v/>
      </c>
      <c r="U176" s="197" t="str">
        <f t="shared" si="26"/>
        <v/>
      </c>
      <c r="V176" s="198" t="str">
        <f t="shared" si="23"/>
        <v/>
      </c>
      <c r="W176" s="339" t="str">
        <f t="shared" si="27"/>
        <v/>
      </c>
      <c r="X176" s="341" t="str">
        <f t="shared" si="28"/>
        <v/>
      </c>
      <c r="Y176" s="277"/>
      <c r="AR176" t="str">
        <f t="shared" si="29"/>
        <v/>
      </c>
      <c r="AS176" t="str">
        <f t="shared" si="30"/>
        <v/>
      </c>
    </row>
    <row r="177" spans="1:45">
      <c r="A177" s="294"/>
      <c r="B177" s="295"/>
      <c r="C177" s="296"/>
      <c r="D177" s="296"/>
      <c r="E177" s="296"/>
      <c r="F177" s="296"/>
      <c r="G177" s="297"/>
      <c r="H177" s="303"/>
      <c r="I177" s="298"/>
      <c r="J177" s="298"/>
      <c r="K177" s="299"/>
      <c r="L177" s="304"/>
      <c r="M177" s="300"/>
      <c r="N177" s="301"/>
      <c r="P177" s="193" t="str">
        <f>IF(R177 = "", "", COUNT(R$4:$R177))</f>
        <v/>
      </c>
      <c r="Q177" s="193" t="str">
        <f t="shared" si="21"/>
        <v/>
      </c>
      <c r="R177" s="194" t="str">
        <f t="shared" si="22"/>
        <v/>
      </c>
      <c r="S177" s="195" t="str">
        <f t="shared" si="24"/>
        <v/>
      </c>
      <c r="T177" s="196" t="str">
        <f t="shared" si="25"/>
        <v/>
      </c>
      <c r="U177" s="197" t="str">
        <f t="shared" si="26"/>
        <v/>
      </c>
      <c r="V177" s="198" t="str">
        <f t="shared" si="23"/>
        <v/>
      </c>
      <c r="W177" s="339" t="str">
        <f t="shared" si="27"/>
        <v/>
      </c>
      <c r="X177" s="341" t="str">
        <f t="shared" si="28"/>
        <v/>
      </c>
      <c r="Y177" s="277"/>
      <c r="AR177" t="str">
        <f t="shared" si="29"/>
        <v/>
      </c>
      <c r="AS177" t="str">
        <f t="shared" si="30"/>
        <v/>
      </c>
    </row>
    <row r="178" spans="1:45">
      <c r="A178" s="294"/>
      <c r="B178" s="295"/>
      <c r="C178" s="296"/>
      <c r="D178" s="296"/>
      <c r="E178" s="296"/>
      <c r="F178" s="296"/>
      <c r="G178" s="297"/>
      <c r="H178" s="303"/>
      <c r="I178" s="298"/>
      <c r="J178" s="298"/>
      <c r="K178" s="299"/>
      <c r="L178" s="304"/>
      <c r="M178" s="300"/>
      <c r="N178" s="301"/>
      <c r="P178" s="193" t="str">
        <f>IF(R178 = "", "", COUNT(R$4:$R178))</f>
        <v/>
      </c>
      <c r="Q178" s="193" t="str">
        <f t="shared" si="21"/>
        <v/>
      </c>
      <c r="R178" s="194" t="str">
        <f t="shared" si="22"/>
        <v/>
      </c>
      <c r="S178" s="195" t="str">
        <f t="shared" si="24"/>
        <v/>
      </c>
      <c r="T178" s="196" t="str">
        <f t="shared" si="25"/>
        <v/>
      </c>
      <c r="U178" s="197" t="str">
        <f t="shared" si="26"/>
        <v/>
      </c>
      <c r="V178" s="198" t="str">
        <f t="shared" si="23"/>
        <v/>
      </c>
      <c r="W178" s="339" t="str">
        <f t="shared" si="27"/>
        <v/>
      </c>
      <c r="X178" s="341" t="str">
        <f t="shared" si="28"/>
        <v/>
      </c>
      <c r="Y178" s="277"/>
      <c r="AR178" t="str">
        <f t="shared" si="29"/>
        <v/>
      </c>
      <c r="AS178" t="str">
        <f t="shared" si="30"/>
        <v/>
      </c>
    </row>
    <row r="179" spans="1:45">
      <c r="A179" s="294"/>
      <c r="B179" s="295"/>
      <c r="C179" s="296"/>
      <c r="D179" s="296"/>
      <c r="E179" s="296"/>
      <c r="F179" s="296"/>
      <c r="G179" s="297"/>
      <c r="H179" s="303"/>
      <c r="I179" s="298"/>
      <c r="J179" s="298"/>
      <c r="K179" s="299"/>
      <c r="L179" s="304"/>
      <c r="M179" s="300"/>
      <c r="N179" s="301"/>
      <c r="P179" s="193" t="str">
        <f>IF(R179 = "", "", COUNT(R$4:$R179))</f>
        <v/>
      </c>
      <c r="Q179" s="193" t="str">
        <f t="shared" si="21"/>
        <v/>
      </c>
      <c r="R179" s="194" t="str">
        <f t="shared" si="22"/>
        <v/>
      </c>
      <c r="S179" s="195" t="str">
        <f t="shared" si="24"/>
        <v/>
      </c>
      <c r="T179" s="196" t="str">
        <f t="shared" si="25"/>
        <v/>
      </c>
      <c r="U179" s="197" t="str">
        <f t="shared" si="26"/>
        <v/>
      </c>
      <c r="V179" s="198" t="str">
        <f t="shared" si="23"/>
        <v/>
      </c>
      <c r="W179" s="339" t="str">
        <f t="shared" si="27"/>
        <v/>
      </c>
      <c r="X179" s="341" t="str">
        <f t="shared" si="28"/>
        <v/>
      </c>
      <c r="Y179" s="277"/>
      <c r="AR179" t="str">
        <f t="shared" si="29"/>
        <v/>
      </c>
      <c r="AS179" t="str">
        <f t="shared" si="30"/>
        <v/>
      </c>
    </row>
    <row r="180" spans="1:45">
      <c r="A180" s="294"/>
      <c r="B180" s="295"/>
      <c r="C180" s="296"/>
      <c r="D180" s="296"/>
      <c r="E180" s="296"/>
      <c r="F180" s="296"/>
      <c r="G180" s="297"/>
      <c r="H180" s="303"/>
      <c r="I180" s="298"/>
      <c r="J180" s="298"/>
      <c r="K180" s="299"/>
      <c r="L180" s="304"/>
      <c r="M180" s="300"/>
      <c r="N180" s="301"/>
      <c r="P180" s="193" t="str">
        <f>IF(R180 = "", "", COUNT(R$4:$R180))</f>
        <v/>
      </c>
      <c r="Q180" s="193" t="str">
        <f t="shared" si="21"/>
        <v/>
      </c>
      <c r="R180" s="194" t="str">
        <f t="shared" si="22"/>
        <v/>
      </c>
      <c r="S180" s="195" t="str">
        <f t="shared" si="24"/>
        <v/>
      </c>
      <c r="T180" s="196" t="str">
        <f t="shared" si="25"/>
        <v/>
      </c>
      <c r="U180" s="197" t="str">
        <f t="shared" si="26"/>
        <v/>
      </c>
      <c r="V180" s="198" t="str">
        <f t="shared" si="23"/>
        <v/>
      </c>
      <c r="W180" s="339" t="str">
        <f t="shared" si="27"/>
        <v/>
      </c>
      <c r="X180" s="341" t="str">
        <f t="shared" si="28"/>
        <v/>
      </c>
      <c r="Y180" s="277"/>
      <c r="AR180" t="str">
        <f t="shared" si="29"/>
        <v/>
      </c>
      <c r="AS180" t="str">
        <f t="shared" si="30"/>
        <v/>
      </c>
    </row>
    <row r="181" spans="1:45">
      <c r="A181" s="294"/>
      <c r="B181" s="295"/>
      <c r="C181" s="296"/>
      <c r="D181" s="296"/>
      <c r="E181" s="296"/>
      <c r="F181" s="296"/>
      <c r="G181" s="297"/>
      <c r="H181" s="303"/>
      <c r="I181" s="298"/>
      <c r="J181" s="298"/>
      <c r="K181" s="299"/>
      <c r="L181" s="304"/>
      <c r="M181" s="300"/>
      <c r="N181" s="301"/>
      <c r="P181" s="193" t="str">
        <f>IF(R181 = "", "", COUNT(R$4:$R181))</f>
        <v/>
      </c>
      <c r="Q181" s="193" t="str">
        <f t="shared" si="21"/>
        <v/>
      </c>
      <c r="R181" s="194" t="str">
        <f t="shared" si="22"/>
        <v/>
      </c>
      <c r="S181" s="195" t="str">
        <f t="shared" si="24"/>
        <v/>
      </c>
      <c r="T181" s="196" t="str">
        <f t="shared" si="25"/>
        <v/>
      </c>
      <c r="U181" s="197" t="str">
        <f t="shared" si="26"/>
        <v/>
      </c>
      <c r="V181" s="198" t="str">
        <f t="shared" si="23"/>
        <v/>
      </c>
      <c r="W181" s="339" t="str">
        <f t="shared" si="27"/>
        <v/>
      </c>
      <c r="X181" s="341" t="str">
        <f t="shared" si="28"/>
        <v/>
      </c>
      <c r="Y181" s="277"/>
      <c r="AR181" t="str">
        <f t="shared" si="29"/>
        <v/>
      </c>
      <c r="AS181" t="str">
        <f t="shared" si="30"/>
        <v/>
      </c>
    </row>
    <row r="182" spans="1:45">
      <c r="A182" s="294"/>
      <c r="B182" s="295"/>
      <c r="C182" s="296"/>
      <c r="D182" s="296"/>
      <c r="E182" s="296"/>
      <c r="F182" s="296"/>
      <c r="G182" s="297"/>
      <c r="H182" s="303"/>
      <c r="I182" s="298"/>
      <c r="J182" s="298"/>
      <c r="K182" s="299"/>
      <c r="L182" s="304"/>
      <c r="M182" s="300"/>
      <c r="N182" s="301"/>
      <c r="P182" s="193" t="str">
        <f>IF(R182 = "", "", COUNT(R$4:$R182))</f>
        <v/>
      </c>
      <c r="Q182" s="193" t="str">
        <f t="shared" si="21"/>
        <v/>
      </c>
      <c r="R182" s="194" t="str">
        <f t="shared" si="22"/>
        <v/>
      </c>
      <c r="S182" s="195" t="str">
        <f t="shared" si="24"/>
        <v/>
      </c>
      <c r="T182" s="196" t="str">
        <f t="shared" si="25"/>
        <v/>
      </c>
      <c r="U182" s="197" t="str">
        <f t="shared" si="26"/>
        <v/>
      </c>
      <c r="V182" s="198" t="str">
        <f t="shared" si="23"/>
        <v/>
      </c>
      <c r="W182" s="339" t="str">
        <f t="shared" si="27"/>
        <v/>
      </c>
      <c r="X182" s="341" t="str">
        <f t="shared" si="28"/>
        <v/>
      </c>
      <c r="Y182" s="277"/>
      <c r="AR182" t="str">
        <f t="shared" si="29"/>
        <v/>
      </c>
      <c r="AS182" t="str">
        <f t="shared" si="30"/>
        <v/>
      </c>
    </row>
    <row r="183" spans="1:45">
      <c r="A183" s="294"/>
      <c r="B183" s="295"/>
      <c r="C183" s="296"/>
      <c r="D183" s="296"/>
      <c r="E183" s="296"/>
      <c r="F183" s="296"/>
      <c r="G183" s="297"/>
      <c r="H183" s="303"/>
      <c r="I183" s="298"/>
      <c r="J183" s="298"/>
      <c r="K183" s="299"/>
      <c r="L183" s="304"/>
      <c r="M183" s="300"/>
      <c r="N183" s="301"/>
      <c r="P183" s="193" t="str">
        <f>IF(R183 = "", "", COUNT(R$4:$R183))</f>
        <v/>
      </c>
      <c r="Q183" s="193" t="str">
        <f t="shared" si="21"/>
        <v/>
      </c>
      <c r="R183" s="194" t="str">
        <f t="shared" si="22"/>
        <v/>
      </c>
      <c r="S183" s="195" t="str">
        <f t="shared" si="24"/>
        <v/>
      </c>
      <c r="T183" s="196" t="str">
        <f t="shared" si="25"/>
        <v/>
      </c>
      <c r="U183" s="197" t="str">
        <f t="shared" si="26"/>
        <v/>
      </c>
      <c r="V183" s="198" t="str">
        <f t="shared" si="23"/>
        <v/>
      </c>
      <c r="W183" s="339" t="str">
        <f t="shared" si="27"/>
        <v/>
      </c>
      <c r="X183" s="341" t="str">
        <f t="shared" si="28"/>
        <v/>
      </c>
      <c r="Y183" s="277"/>
      <c r="AR183" t="str">
        <f t="shared" si="29"/>
        <v/>
      </c>
      <c r="AS183" t="str">
        <f t="shared" si="30"/>
        <v/>
      </c>
    </row>
    <row r="184" spans="1:45">
      <c r="A184" s="294"/>
      <c r="B184" s="295"/>
      <c r="C184" s="296"/>
      <c r="D184" s="296"/>
      <c r="E184" s="296"/>
      <c r="F184" s="296"/>
      <c r="G184" s="297"/>
      <c r="H184" s="303"/>
      <c r="I184" s="298"/>
      <c r="J184" s="298"/>
      <c r="K184" s="299"/>
      <c r="L184" s="304"/>
      <c r="M184" s="300"/>
      <c r="N184" s="301"/>
      <c r="P184" s="193" t="str">
        <f>IF(R184 = "", "", COUNT(R$4:$R184))</f>
        <v/>
      </c>
      <c r="Q184" s="193" t="str">
        <f t="shared" si="21"/>
        <v/>
      </c>
      <c r="R184" s="194" t="str">
        <f t="shared" si="22"/>
        <v/>
      </c>
      <c r="S184" s="195" t="str">
        <f t="shared" si="24"/>
        <v/>
      </c>
      <c r="T184" s="196" t="str">
        <f t="shared" si="25"/>
        <v/>
      </c>
      <c r="U184" s="197" t="str">
        <f t="shared" si="26"/>
        <v/>
      </c>
      <c r="V184" s="198" t="str">
        <f t="shared" si="23"/>
        <v/>
      </c>
      <c r="W184" s="339" t="str">
        <f t="shared" si="27"/>
        <v/>
      </c>
      <c r="X184" s="341" t="str">
        <f t="shared" si="28"/>
        <v/>
      </c>
      <c r="Y184" s="277"/>
      <c r="AR184" t="str">
        <f t="shared" si="29"/>
        <v/>
      </c>
      <c r="AS184" t="str">
        <f t="shared" si="30"/>
        <v/>
      </c>
    </row>
    <row r="185" spans="1:45">
      <c r="A185" s="294"/>
      <c r="B185" s="295"/>
      <c r="C185" s="296"/>
      <c r="D185" s="296"/>
      <c r="E185" s="296"/>
      <c r="F185" s="296"/>
      <c r="G185" s="297"/>
      <c r="H185" s="303"/>
      <c r="I185" s="298"/>
      <c r="J185" s="298"/>
      <c r="K185" s="299"/>
      <c r="L185" s="304"/>
      <c r="M185" s="300"/>
      <c r="N185" s="301"/>
      <c r="P185" s="193" t="str">
        <f>IF(R185 = "", "", COUNT(R$4:$R185))</f>
        <v/>
      </c>
      <c r="Q185" s="193" t="str">
        <f t="shared" si="21"/>
        <v/>
      </c>
      <c r="R185" s="194" t="str">
        <f t="shared" si="22"/>
        <v/>
      </c>
      <c r="S185" s="195" t="str">
        <f t="shared" si="24"/>
        <v/>
      </c>
      <c r="T185" s="196" t="str">
        <f t="shared" si="25"/>
        <v/>
      </c>
      <c r="U185" s="197" t="str">
        <f t="shared" si="26"/>
        <v/>
      </c>
      <c r="V185" s="198" t="str">
        <f t="shared" si="23"/>
        <v/>
      </c>
      <c r="W185" s="339" t="str">
        <f t="shared" si="27"/>
        <v/>
      </c>
      <c r="X185" s="341" t="str">
        <f t="shared" si="28"/>
        <v/>
      </c>
      <c r="Y185" s="277"/>
      <c r="AR185" t="str">
        <f t="shared" si="29"/>
        <v/>
      </c>
      <c r="AS185" t="str">
        <f t="shared" si="30"/>
        <v/>
      </c>
    </row>
    <row r="186" spans="1:45">
      <c r="A186" s="294"/>
      <c r="B186" s="295"/>
      <c r="C186" s="296"/>
      <c r="D186" s="296"/>
      <c r="E186" s="296"/>
      <c r="F186" s="296"/>
      <c r="G186" s="297"/>
      <c r="H186" s="303"/>
      <c r="I186" s="298"/>
      <c r="J186" s="298"/>
      <c r="K186" s="299"/>
      <c r="L186" s="304"/>
      <c r="M186" s="300"/>
      <c r="N186" s="301"/>
      <c r="P186" s="193" t="str">
        <f>IF(R186 = "", "", COUNT(R$4:$R186))</f>
        <v/>
      </c>
      <c r="Q186" s="193" t="str">
        <f t="shared" si="21"/>
        <v/>
      </c>
      <c r="R186" s="194" t="str">
        <f t="shared" si="22"/>
        <v/>
      </c>
      <c r="S186" s="195" t="str">
        <f t="shared" si="24"/>
        <v/>
      </c>
      <c r="T186" s="196" t="str">
        <f t="shared" si="25"/>
        <v/>
      </c>
      <c r="U186" s="197" t="str">
        <f t="shared" si="26"/>
        <v/>
      </c>
      <c r="V186" s="198" t="str">
        <f t="shared" si="23"/>
        <v/>
      </c>
      <c r="W186" s="339" t="str">
        <f t="shared" si="27"/>
        <v/>
      </c>
      <c r="X186" s="341" t="str">
        <f t="shared" si="28"/>
        <v/>
      </c>
      <c r="Y186" s="277"/>
      <c r="AR186" t="str">
        <f t="shared" si="29"/>
        <v/>
      </c>
      <c r="AS186" t="str">
        <f t="shared" si="30"/>
        <v/>
      </c>
    </row>
    <row r="187" spans="1:45">
      <c r="A187" s="294"/>
      <c r="B187" s="295"/>
      <c r="C187" s="296"/>
      <c r="D187" s="296"/>
      <c r="E187" s="296"/>
      <c r="F187" s="296"/>
      <c r="G187" s="297"/>
      <c r="H187" s="303"/>
      <c r="I187" s="298"/>
      <c r="J187" s="298"/>
      <c r="K187" s="299"/>
      <c r="L187" s="304"/>
      <c r="M187" s="300"/>
      <c r="N187" s="301"/>
      <c r="P187" s="193" t="str">
        <f>IF(R187 = "", "", COUNT(R$4:$R187))</f>
        <v/>
      </c>
      <c r="Q187" s="193" t="str">
        <f t="shared" si="21"/>
        <v/>
      </c>
      <c r="R187" s="194" t="str">
        <f t="shared" si="22"/>
        <v/>
      </c>
      <c r="S187" s="195" t="str">
        <f t="shared" si="24"/>
        <v/>
      </c>
      <c r="T187" s="196" t="str">
        <f t="shared" si="25"/>
        <v/>
      </c>
      <c r="U187" s="197" t="str">
        <f t="shared" si="26"/>
        <v/>
      </c>
      <c r="V187" s="198" t="str">
        <f t="shared" si="23"/>
        <v/>
      </c>
      <c r="W187" s="339" t="str">
        <f t="shared" si="27"/>
        <v/>
      </c>
      <c r="X187" s="341" t="str">
        <f t="shared" si="28"/>
        <v/>
      </c>
      <c r="Y187" s="277"/>
      <c r="AR187" t="str">
        <f t="shared" si="29"/>
        <v/>
      </c>
      <c r="AS187" t="str">
        <f t="shared" si="30"/>
        <v/>
      </c>
    </row>
    <row r="188" spans="1:45">
      <c r="A188" s="294"/>
      <c r="B188" s="295"/>
      <c r="C188" s="296"/>
      <c r="D188" s="296"/>
      <c r="E188" s="296"/>
      <c r="F188" s="296"/>
      <c r="G188" s="297"/>
      <c r="H188" s="303"/>
      <c r="I188" s="298"/>
      <c r="J188" s="298"/>
      <c r="K188" s="299"/>
      <c r="L188" s="304"/>
      <c r="M188" s="300"/>
      <c r="N188" s="301"/>
      <c r="P188" s="193" t="str">
        <f>IF(R188 = "", "", COUNT(R$4:$R188))</f>
        <v/>
      </c>
      <c r="Q188" s="193" t="str">
        <f t="shared" si="21"/>
        <v/>
      </c>
      <c r="R188" s="194" t="str">
        <f t="shared" si="22"/>
        <v/>
      </c>
      <c r="S188" s="195" t="str">
        <f t="shared" si="24"/>
        <v/>
      </c>
      <c r="T188" s="196" t="str">
        <f t="shared" si="25"/>
        <v/>
      </c>
      <c r="U188" s="197" t="str">
        <f t="shared" si="26"/>
        <v/>
      </c>
      <c r="V188" s="198" t="str">
        <f t="shared" si="23"/>
        <v/>
      </c>
      <c r="W188" s="339" t="str">
        <f t="shared" si="27"/>
        <v/>
      </c>
      <c r="X188" s="341" t="str">
        <f t="shared" si="28"/>
        <v/>
      </c>
      <c r="Y188" s="277"/>
      <c r="AR188" t="str">
        <f t="shared" si="29"/>
        <v/>
      </c>
      <c r="AS188" t="str">
        <f t="shared" si="30"/>
        <v/>
      </c>
    </row>
    <row r="189" spans="1:45">
      <c r="A189" s="294"/>
      <c r="B189" s="295"/>
      <c r="C189" s="296"/>
      <c r="D189" s="296"/>
      <c r="E189" s="296"/>
      <c r="F189" s="296"/>
      <c r="G189" s="297"/>
      <c r="H189" s="303"/>
      <c r="I189" s="298"/>
      <c r="J189" s="298"/>
      <c r="K189" s="299"/>
      <c r="L189" s="304"/>
      <c r="M189" s="300"/>
      <c r="N189" s="301"/>
      <c r="P189" s="193" t="str">
        <f>IF(R189 = "", "", COUNT(R$4:$R189))</f>
        <v/>
      </c>
      <c r="Q189" s="193" t="str">
        <f t="shared" si="21"/>
        <v/>
      </c>
      <c r="R189" s="194" t="str">
        <f t="shared" si="22"/>
        <v/>
      </c>
      <c r="S189" s="195" t="str">
        <f t="shared" si="24"/>
        <v/>
      </c>
      <c r="T189" s="196" t="str">
        <f t="shared" si="25"/>
        <v/>
      </c>
      <c r="U189" s="197" t="str">
        <f t="shared" si="26"/>
        <v/>
      </c>
      <c r="V189" s="198" t="str">
        <f t="shared" si="23"/>
        <v/>
      </c>
      <c r="W189" s="339" t="str">
        <f t="shared" si="27"/>
        <v/>
      </c>
      <c r="X189" s="341" t="str">
        <f t="shared" si="28"/>
        <v/>
      </c>
      <c r="Y189" s="277"/>
      <c r="AR189" t="str">
        <f t="shared" si="29"/>
        <v/>
      </c>
      <c r="AS189" t="str">
        <f t="shared" si="30"/>
        <v/>
      </c>
    </row>
    <row r="190" spans="1:45">
      <c r="A190" s="294"/>
      <c r="B190" s="295"/>
      <c r="C190" s="296"/>
      <c r="D190" s="296"/>
      <c r="E190" s="296"/>
      <c r="F190" s="296"/>
      <c r="G190" s="297"/>
      <c r="H190" s="303"/>
      <c r="I190" s="298"/>
      <c r="J190" s="298"/>
      <c r="K190" s="299"/>
      <c r="L190" s="304"/>
      <c r="M190" s="300"/>
      <c r="N190" s="301"/>
      <c r="P190" s="193" t="str">
        <f>IF(R190 = "", "", COUNT(R$4:$R190))</f>
        <v/>
      </c>
      <c r="Q190" s="193" t="str">
        <f t="shared" si="21"/>
        <v/>
      </c>
      <c r="R190" s="194" t="str">
        <f t="shared" si="22"/>
        <v/>
      </c>
      <c r="S190" s="195" t="str">
        <f t="shared" si="24"/>
        <v/>
      </c>
      <c r="T190" s="196" t="str">
        <f t="shared" si="25"/>
        <v/>
      </c>
      <c r="U190" s="197" t="str">
        <f t="shared" si="26"/>
        <v/>
      </c>
      <c r="V190" s="198" t="str">
        <f t="shared" si="23"/>
        <v/>
      </c>
      <c r="W190" s="339" t="str">
        <f t="shared" si="27"/>
        <v/>
      </c>
      <c r="X190" s="341" t="str">
        <f t="shared" si="28"/>
        <v/>
      </c>
      <c r="Y190" s="277"/>
      <c r="AR190" t="str">
        <f t="shared" si="29"/>
        <v/>
      </c>
      <c r="AS190" t="str">
        <f t="shared" si="30"/>
        <v/>
      </c>
    </row>
    <row r="191" spans="1:45">
      <c r="A191" s="294"/>
      <c r="B191" s="295"/>
      <c r="C191" s="296"/>
      <c r="D191" s="296"/>
      <c r="E191" s="296"/>
      <c r="F191" s="296"/>
      <c r="G191" s="297"/>
      <c r="H191" s="303"/>
      <c r="I191" s="298"/>
      <c r="J191" s="298"/>
      <c r="K191" s="299"/>
      <c r="L191" s="304"/>
      <c r="M191" s="300"/>
      <c r="N191" s="301"/>
      <c r="P191" s="193" t="str">
        <f>IF(R191 = "", "", COUNT(R$4:$R191))</f>
        <v/>
      </c>
      <c r="Q191" s="193" t="str">
        <f t="shared" si="21"/>
        <v/>
      </c>
      <c r="R191" s="194" t="str">
        <f t="shared" si="22"/>
        <v/>
      </c>
      <c r="S191" s="195" t="str">
        <f t="shared" si="24"/>
        <v/>
      </c>
      <c r="T191" s="196" t="str">
        <f t="shared" si="25"/>
        <v/>
      </c>
      <c r="U191" s="197" t="str">
        <f t="shared" si="26"/>
        <v/>
      </c>
      <c r="V191" s="198" t="str">
        <f t="shared" si="23"/>
        <v/>
      </c>
      <c r="W191" s="339" t="str">
        <f t="shared" si="27"/>
        <v/>
      </c>
      <c r="X191" s="341" t="str">
        <f t="shared" si="28"/>
        <v/>
      </c>
      <c r="Y191" s="277"/>
      <c r="AR191" t="str">
        <f t="shared" si="29"/>
        <v/>
      </c>
      <c r="AS191" t="str">
        <f t="shared" si="30"/>
        <v/>
      </c>
    </row>
    <row r="192" spans="1:45">
      <c r="A192" s="294"/>
      <c r="B192" s="295"/>
      <c r="C192" s="296"/>
      <c r="D192" s="296"/>
      <c r="E192" s="296"/>
      <c r="F192" s="296"/>
      <c r="G192" s="297"/>
      <c r="H192" s="303"/>
      <c r="I192" s="298"/>
      <c r="J192" s="298"/>
      <c r="K192" s="299"/>
      <c r="L192" s="304"/>
      <c r="M192" s="300"/>
      <c r="N192" s="301"/>
      <c r="P192" s="193" t="str">
        <f>IF(R192 = "", "", COUNT(R$4:$R192))</f>
        <v/>
      </c>
      <c r="Q192" s="193" t="str">
        <f t="shared" si="21"/>
        <v/>
      </c>
      <c r="R192" s="194" t="str">
        <f t="shared" si="22"/>
        <v/>
      </c>
      <c r="S192" s="195" t="str">
        <f t="shared" si="24"/>
        <v/>
      </c>
      <c r="T192" s="196" t="str">
        <f t="shared" si="25"/>
        <v/>
      </c>
      <c r="U192" s="197" t="str">
        <f t="shared" si="26"/>
        <v/>
      </c>
      <c r="V192" s="198" t="str">
        <f t="shared" si="23"/>
        <v/>
      </c>
      <c r="W192" s="339" t="str">
        <f t="shared" si="27"/>
        <v/>
      </c>
      <c r="X192" s="341" t="str">
        <f t="shared" si="28"/>
        <v/>
      </c>
      <c r="Y192" s="277"/>
      <c r="AR192" t="str">
        <f t="shared" si="29"/>
        <v/>
      </c>
      <c r="AS192" t="str">
        <f t="shared" si="30"/>
        <v/>
      </c>
    </row>
    <row r="193" spans="1:45">
      <c r="A193" s="294"/>
      <c r="B193" s="295"/>
      <c r="C193" s="296"/>
      <c r="D193" s="296"/>
      <c r="E193" s="296"/>
      <c r="F193" s="296"/>
      <c r="G193" s="297"/>
      <c r="H193" s="303"/>
      <c r="I193" s="298"/>
      <c r="J193" s="298"/>
      <c r="K193" s="299"/>
      <c r="L193" s="304"/>
      <c r="M193" s="300"/>
      <c r="N193" s="301"/>
      <c r="P193" s="193" t="str">
        <f>IF(R193 = "", "", COUNT(R$4:$R193))</f>
        <v/>
      </c>
      <c r="Q193" s="193" t="str">
        <f t="shared" si="21"/>
        <v/>
      </c>
      <c r="R193" s="194" t="str">
        <f t="shared" si="22"/>
        <v/>
      </c>
      <c r="S193" s="195" t="str">
        <f t="shared" si="24"/>
        <v/>
      </c>
      <c r="T193" s="196" t="str">
        <f t="shared" si="25"/>
        <v/>
      </c>
      <c r="U193" s="197" t="str">
        <f t="shared" si="26"/>
        <v/>
      </c>
      <c r="V193" s="198" t="str">
        <f t="shared" si="23"/>
        <v/>
      </c>
      <c r="W193" s="339" t="str">
        <f t="shared" si="27"/>
        <v/>
      </c>
      <c r="X193" s="341" t="str">
        <f t="shared" si="28"/>
        <v/>
      </c>
      <c r="Y193" s="277"/>
      <c r="AR193" t="str">
        <f t="shared" si="29"/>
        <v/>
      </c>
      <c r="AS193" t="str">
        <f t="shared" si="30"/>
        <v/>
      </c>
    </row>
    <row r="194" spans="1:45">
      <c r="A194" s="294"/>
      <c r="B194" s="295"/>
      <c r="C194" s="296"/>
      <c r="D194" s="296"/>
      <c r="E194" s="296"/>
      <c r="F194" s="296"/>
      <c r="G194" s="297"/>
      <c r="H194" s="303"/>
      <c r="I194" s="298"/>
      <c r="J194" s="298"/>
      <c r="K194" s="299"/>
      <c r="L194" s="304"/>
      <c r="M194" s="300"/>
      <c r="N194" s="301"/>
      <c r="P194" s="193" t="str">
        <f>IF(R194 = "", "", COUNT(R$4:$R194))</f>
        <v/>
      </c>
      <c r="Q194" s="193" t="str">
        <f t="shared" si="21"/>
        <v/>
      </c>
      <c r="R194" s="194" t="str">
        <f t="shared" si="22"/>
        <v/>
      </c>
      <c r="S194" s="195" t="str">
        <f t="shared" si="24"/>
        <v/>
      </c>
      <c r="T194" s="196" t="str">
        <f t="shared" si="25"/>
        <v/>
      </c>
      <c r="U194" s="197" t="str">
        <f t="shared" si="26"/>
        <v/>
      </c>
      <c r="V194" s="198" t="str">
        <f t="shared" si="23"/>
        <v/>
      </c>
      <c r="W194" s="339" t="str">
        <f t="shared" si="27"/>
        <v/>
      </c>
      <c r="X194" s="341" t="str">
        <f t="shared" si="28"/>
        <v/>
      </c>
      <c r="Y194" s="277"/>
      <c r="AR194" t="str">
        <f t="shared" si="29"/>
        <v/>
      </c>
      <c r="AS194" t="str">
        <f t="shared" si="30"/>
        <v/>
      </c>
    </row>
    <row r="195" spans="1:45">
      <c r="A195" s="294"/>
      <c r="B195" s="295"/>
      <c r="C195" s="296"/>
      <c r="D195" s="296"/>
      <c r="E195" s="296"/>
      <c r="F195" s="296"/>
      <c r="G195" s="297"/>
      <c r="H195" s="303"/>
      <c r="I195" s="298"/>
      <c r="J195" s="298"/>
      <c r="K195" s="299"/>
      <c r="L195" s="304"/>
      <c r="M195" s="300"/>
      <c r="N195" s="301"/>
      <c r="P195" s="193" t="str">
        <f>IF(R195 = "", "", COUNT(R$4:$R195))</f>
        <v/>
      </c>
      <c r="Q195" s="193" t="str">
        <f t="shared" si="21"/>
        <v/>
      </c>
      <c r="R195" s="194" t="str">
        <f t="shared" si="22"/>
        <v/>
      </c>
      <c r="S195" s="195" t="str">
        <f t="shared" si="24"/>
        <v/>
      </c>
      <c r="T195" s="196" t="str">
        <f t="shared" si="25"/>
        <v/>
      </c>
      <c r="U195" s="197" t="str">
        <f t="shared" si="26"/>
        <v/>
      </c>
      <c r="V195" s="198" t="str">
        <f t="shared" si="23"/>
        <v/>
      </c>
      <c r="W195" s="339" t="str">
        <f t="shared" si="27"/>
        <v/>
      </c>
      <c r="X195" s="341" t="str">
        <f t="shared" si="28"/>
        <v/>
      </c>
      <c r="Y195" s="277"/>
      <c r="AR195" t="str">
        <f t="shared" si="29"/>
        <v/>
      </c>
      <c r="AS195" t="str">
        <f t="shared" si="30"/>
        <v/>
      </c>
    </row>
    <row r="196" spans="1:45">
      <c r="A196" s="294"/>
      <c r="B196" s="295"/>
      <c r="C196" s="296"/>
      <c r="D196" s="296"/>
      <c r="E196" s="296"/>
      <c r="F196" s="296"/>
      <c r="G196" s="297"/>
      <c r="H196" s="303"/>
      <c r="I196" s="298"/>
      <c r="J196" s="298"/>
      <c r="K196" s="299"/>
      <c r="L196" s="304"/>
      <c r="M196" s="300"/>
      <c r="N196" s="301"/>
      <c r="P196" s="193" t="str">
        <f>IF(R196 = "", "", COUNT(R$4:$R196))</f>
        <v/>
      </c>
      <c r="Q196" s="193" t="str">
        <f t="shared" ref="Q196:Q259" si="31">IF(C196 &gt; 0, YEAR(B196), "")</f>
        <v/>
      </c>
      <c r="R196" s="194" t="str">
        <f t="shared" ref="R196:R259" si="32">IF(A196="", "", IF(G196="",1,IF(G196="O",1,IF(G196="C",8.4,IF(G196="B",8.4,IF(G196="A",76.8,IF(G196="K",76.8,"ERR")))))))</f>
        <v/>
      </c>
      <c r="S196" s="195" t="str">
        <f t="shared" si="24"/>
        <v/>
      </c>
      <c r="T196" s="196" t="str">
        <f t="shared" si="25"/>
        <v/>
      </c>
      <c r="U196" s="197" t="str">
        <f t="shared" si="26"/>
        <v/>
      </c>
      <c r="V196" s="198" t="str">
        <f t="shared" ref="V196:V259" si="33">IF(IF(M196&lt;&gt;"",G196,"")=0, "O", IF(M196&lt;&gt;"",G196,""))</f>
        <v/>
      </c>
      <c r="W196" s="339" t="str">
        <f t="shared" si="27"/>
        <v/>
      </c>
      <c r="X196" s="341" t="str">
        <f t="shared" si="28"/>
        <v/>
      </c>
      <c r="Y196" s="277"/>
      <c r="AR196" t="str">
        <f t="shared" si="29"/>
        <v/>
      </c>
      <c r="AS196" t="str">
        <f t="shared" si="30"/>
        <v/>
      </c>
    </row>
    <row r="197" spans="1:45">
      <c r="A197" s="294"/>
      <c r="B197" s="295"/>
      <c r="C197" s="296"/>
      <c r="D197" s="296"/>
      <c r="E197" s="296"/>
      <c r="F197" s="296"/>
      <c r="G197" s="297"/>
      <c r="H197" s="303"/>
      <c r="I197" s="298"/>
      <c r="J197" s="298"/>
      <c r="K197" s="299"/>
      <c r="L197" s="304"/>
      <c r="M197" s="300"/>
      <c r="N197" s="301"/>
      <c r="P197" s="193" t="str">
        <f>IF(R197 = "", "", COUNT(R$4:$R197))</f>
        <v/>
      </c>
      <c r="Q197" s="193" t="str">
        <f t="shared" si="31"/>
        <v/>
      </c>
      <c r="R197" s="194" t="str">
        <f t="shared" si="32"/>
        <v/>
      </c>
      <c r="S197" s="195" t="str">
        <f t="shared" ref="S197:S260" si="34">IF(L197&lt;&gt;"",R197,"")</f>
        <v/>
      </c>
      <c r="T197" s="196" t="str">
        <f t="shared" ref="T197:T260" si="35">IF(IF(L197&lt;&gt;"",G197,"")=0, "O", IF(L197&lt;&gt;"",G197,""))</f>
        <v/>
      </c>
      <c r="U197" s="197" t="str">
        <f t="shared" ref="U197:U260" si="36">IF(M197&lt;&gt;"",R197,"")</f>
        <v/>
      </c>
      <c r="V197" s="198" t="str">
        <f t="shared" si="33"/>
        <v/>
      </c>
      <c r="W197" s="339" t="str">
        <f t="shared" ref="W197:W260" si="37">IF(N197&lt;&gt;"",R197,"")</f>
        <v/>
      </c>
      <c r="X197" s="341" t="str">
        <f t="shared" ref="X197:X260" si="38">IF(IF(N197&lt;&gt;"",G197,"")=0, "O", IF(N197&lt;&gt;"",G197,""))</f>
        <v/>
      </c>
      <c r="Y197" s="277"/>
      <c r="AR197" t="str">
        <f t="shared" ref="AR197:AR260" si="39">IF(P197&gt;0, P197, "")</f>
        <v/>
      </c>
      <c r="AS197" t="str">
        <f t="shared" ref="AS197:AS260" si="40">IF(OR(L197="Y",M197="Y",N197="Y"),"Y","")</f>
        <v/>
      </c>
    </row>
    <row r="198" spans="1:45">
      <c r="A198" s="294"/>
      <c r="B198" s="295"/>
      <c r="C198" s="296"/>
      <c r="D198" s="296"/>
      <c r="E198" s="296"/>
      <c r="F198" s="296"/>
      <c r="G198" s="297"/>
      <c r="H198" s="303"/>
      <c r="I198" s="298"/>
      <c r="J198" s="298"/>
      <c r="K198" s="299"/>
      <c r="L198" s="304"/>
      <c r="M198" s="300"/>
      <c r="N198" s="301"/>
      <c r="P198" s="193" t="str">
        <f>IF(R198 = "", "", COUNT(R$4:$R198))</f>
        <v/>
      </c>
      <c r="Q198" s="193" t="str">
        <f t="shared" si="31"/>
        <v/>
      </c>
      <c r="R198" s="194" t="str">
        <f t="shared" si="32"/>
        <v/>
      </c>
      <c r="S198" s="195" t="str">
        <f t="shared" si="34"/>
        <v/>
      </c>
      <c r="T198" s="196" t="str">
        <f t="shared" si="35"/>
        <v/>
      </c>
      <c r="U198" s="197" t="str">
        <f t="shared" si="36"/>
        <v/>
      </c>
      <c r="V198" s="198" t="str">
        <f t="shared" si="33"/>
        <v/>
      </c>
      <c r="W198" s="339" t="str">
        <f t="shared" si="37"/>
        <v/>
      </c>
      <c r="X198" s="341" t="str">
        <f t="shared" si="38"/>
        <v/>
      </c>
      <c r="Y198" s="277"/>
      <c r="AR198" t="str">
        <f t="shared" si="39"/>
        <v/>
      </c>
      <c r="AS198" t="str">
        <f t="shared" si="40"/>
        <v/>
      </c>
    </row>
    <row r="199" spans="1:45">
      <c r="A199" s="294"/>
      <c r="B199" s="295"/>
      <c r="C199" s="296"/>
      <c r="D199" s="296"/>
      <c r="E199" s="296"/>
      <c r="F199" s="296"/>
      <c r="G199" s="297"/>
      <c r="H199" s="303"/>
      <c r="I199" s="298"/>
      <c r="J199" s="298"/>
      <c r="K199" s="299"/>
      <c r="L199" s="304"/>
      <c r="M199" s="300"/>
      <c r="N199" s="301"/>
      <c r="P199" s="193" t="str">
        <f>IF(R199 = "", "", COUNT(R$4:$R199))</f>
        <v/>
      </c>
      <c r="Q199" s="193" t="str">
        <f t="shared" si="31"/>
        <v/>
      </c>
      <c r="R199" s="194" t="str">
        <f t="shared" si="32"/>
        <v/>
      </c>
      <c r="S199" s="195" t="str">
        <f t="shared" si="34"/>
        <v/>
      </c>
      <c r="T199" s="196" t="str">
        <f t="shared" si="35"/>
        <v/>
      </c>
      <c r="U199" s="197" t="str">
        <f t="shared" si="36"/>
        <v/>
      </c>
      <c r="V199" s="198" t="str">
        <f t="shared" si="33"/>
        <v/>
      </c>
      <c r="W199" s="339" t="str">
        <f t="shared" si="37"/>
        <v/>
      </c>
      <c r="X199" s="341" t="str">
        <f t="shared" si="38"/>
        <v/>
      </c>
      <c r="Y199" s="277"/>
      <c r="AR199" t="str">
        <f t="shared" si="39"/>
        <v/>
      </c>
      <c r="AS199" t="str">
        <f t="shared" si="40"/>
        <v/>
      </c>
    </row>
    <row r="200" spans="1:45">
      <c r="A200" s="294"/>
      <c r="B200" s="295"/>
      <c r="C200" s="296"/>
      <c r="D200" s="296"/>
      <c r="E200" s="296"/>
      <c r="F200" s="296"/>
      <c r="G200" s="297"/>
      <c r="H200" s="303"/>
      <c r="I200" s="298"/>
      <c r="J200" s="298"/>
      <c r="K200" s="299"/>
      <c r="L200" s="304"/>
      <c r="M200" s="300"/>
      <c r="N200" s="301"/>
      <c r="P200" s="193" t="str">
        <f>IF(R200 = "", "", COUNT(R$4:$R200))</f>
        <v/>
      </c>
      <c r="Q200" s="193" t="str">
        <f t="shared" si="31"/>
        <v/>
      </c>
      <c r="R200" s="194" t="str">
        <f t="shared" si="32"/>
        <v/>
      </c>
      <c r="S200" s="195" t="str">
        <f t="shared" si="34"/>
        <v/>
      </c>
      <c r="T200" s="196" t="str">
        <f t="shared" si="35"/>
        <v/>
      </c>
      <c r="U200" s="197" t="str">
        <f t="shared" si="36"/>
        <v/>
      </c>
      <c r="V200" s="198" t="str">
        <f t="shared" si="33"/>
        <v/>
      </c>
      <c r="W200" s="339" t="str">
        <f t="shared" si="37"/>
        <v/>
      </c>
      <c r="X200" s="341" t="str">
        <f t="shared" si="38"/>
        <v/>
      </c>
      <c r="Y200" s="277"/>
      <c r="AR200" t="str">
        <f t="shared" si="39"/>
        <v/>
      </c>
      <c r="AS200" t="str">
        <f t="shared" si="40"/>
        <v/>
      </c>
    </row>
    <row r="201" spans="1:45">
      <c r="A201" s="294"/>
      <c r="B201" s="295"/>
      <c r="C201" s="296"/>
      <c r="D201" s="296"/>
      <c r="E201" s="296"/>
      <c r="F201" s="296"/>
      <c r="G201" s="297"/>
      <c r="H201" s="303"/>
      <c r="I201" s="298"/>
      <c r="J201" s="298"/>
      <c r="K201" s="299"/>
      <c r="L201" s="304"/>
      <c r="M201" s="300"/>
      <c r="N201" s="301"/>
      <c r="P201" s="193" t="str">
        <f>IF(R201 = "", "", COUNT(R$4:$R201))</f>
        <v/>
      </c>
      <c r="Q201" s="193" t="str">
        <f t="shared" si="31"/>
        <v/>
      </c>
      <c r="R201" s="194" t="str">
        <f t="shared" si="32"/>
        <v/>
      </c>
      <c r="S201" s="195" t="str">
        <f t="shared" si="34"/>
        <v/>
      </c>
      <c r="T201" s="196" t="str">
        <f t="shared" si="35"/>
        <v/>
      </c>
      <c r="U201" s="197" t="str">
        <f t="shared" si="36"/>
        <v/>
      </c>
      <c r="V201" s="198" t="str">
        <f t="shared" si="33"/>
        <v/>
      </c>
      <c r="W201" s="339" t="str">
        <f t="shared" si="37"/>
        <v/>
      </c>
      <c r="X201" s="341" t="str">
        <f t="shared" si="38"/>
        <v/>
      </c>
      <c r="Y201" s="277"/>
      <c r="AR201" t="str">
        <f t="shared" si="39"/>
        <v/>
      </c>
      <c r="AS201" t="str">
        <f t="shared" si="40"/>
        <v/>
      </c>
    </row>
    <row r="202" spans="1:45">
      <c r="A202" s="294"/>
      <c r="B202" s="295"/>
      <c r="C202" s="296"/>
      <c r="D202" s="296"/>
      <c r="E202" s="296"/>
      <c r="F202" s="296"/>
      <c r="G202" s="297"/>
      <c r="H202" s="303"/>
      <c r="I202" s="298"/>
      <c r="J202" s="298"/>
      <c r="K202" s="299"/>
      <c r="L202" s="304"/>
      <c r="M202" s="300"/>
      <c r="N202" s="301"/>
      <c r="P202" s="193" t="str">
        <f>IF(R202 = "", "", COUNT(R$4:$R202))</f>
        <v/>
      </c>
      <c r="Q202" s="193" t="str">
        <f t="shared" si="31"/>
        <v/>
      </c>
      <c r="R202" s="194" t="str">
        <f t="shared" si="32"/>
        <v/>
      </c>
      <c r="S202" s="195" t="str">
        <f t="shared" si="34"/>
        <v/>
      </c>
      <c r="T202" s="196" t="str">
        <f t="shared" si="35"/>
        <v/>
      </c>
      <c r="U202" s="197" t="str">
        <f t="shared" si="36"/>
        <v/>
      </c>
      <c r="V202" s="198" t="str">
        <f t="shared" si="33"/>
        <v/>
      </c>
      <c r="W202" s="339" t="str">
        <f t="shared" si="37"/>
        <v/>
      </c>
      <c r="X202" s="341" t="str">
        <f t="shared" si="38"/>
        <v/>
      </c>
      <c r="Y202" s="277"/>
      <c r="AR202" t="str">
        <f t="shared" si="39"/>
        <v/>
      </c>
      <c r="AS202" t="str">
        <f t="shared" si="40"/>
        <v/>
      </c>
    </row>
    <row r="203" spans="1:45">
      <c r="A203" s="294"/>
      <c r="B203" s="295"/>
      <c r="C203" s="296"/>
      <c r="D203" s="296"/>
      <c r="E203" s="296"/>
      <c r="F203" s="296"/>
      <c r="G203" s="297"/>
      <c r="H203" s="303"/>
      <c r="I203" s="298"/>
      <c r="J203" s="298"/>
      <c r="K203" s="299"/>
      <c r="L203" s="304"/>
      <c r="M203" s="300"/>
      <c r="N203" s="301"/>
      <c r="P203" s="193" t="str">
        <f>IF(R203 = "", "", COUNT(R$4:$R203))</f>
        <v/>
      </c>
      <c r="Q203" s="193" t="str">
        <f t="shared" si="31"/>
        <v/>
      </c>
      <c r="R203" s="194" t="str">
        <f t="shared" si="32"/>
        <v/>
      </c>
      <c r="S203" s="195" t="str">
        <f t="shared" si="34"/>
        <v/>
      </c>
      <c r="T203" s="196" t="str">
        <f t="shared" si="35"/>
        <v/>
      </c>
      <c r="U203" s="197" t="str">
        <f t="shared" si="36"/>
        <v/>
      </c>
      <c r="V203" s="198" t="str">
        <f t="shared" si="33"/>
        <v/>
      </c>
      <c r="W203" s="339" t="str">
        <f t="shared" si="37"/>
        <v/>
      </c>
      <c r="X203" s="341" t="str">
        <f t="shared" si="38"/>
        <v/>
      </c>
      <c r="Y203" s="277"/>
      <c r="AR203" t="str">
        <f t="shared" si="39"/>
        <v/>
      </c>
      <c r="AS203" t="str">
        <f t="shared" si="40"/>
        <v/>
      </c>
    </row>
    <row r="204" spans="1:45">
      <c r="A204" s="294"/>
      <c r="B204" s="295"/>
      <c r="C204" s="296"/>
      <c r="D204" s="296"/>
      <c r="E204" s="296"/>
      <c r="F204" s="296"/>
      <c r="G204" s="297"/>
      <c r="H204" s="303"/>
      <c r="I204" s="298"/>
      <c r="J204" s="298"/>
      <c r="K204" s="299"/>
      <c r="L204" s="304"/>
      <c r="M204" s="300"/>
      <c r="N204" s="301"/>
      <c r="P204" s="193" t="str">
        <f>IF(R204 = "", "", COUNT(R$4:$R204))</f>
        <v/>
      </c>
      <c r="Q204" s="193" t="str">
        <f t="shared" si="31"/>
        <v/>
      </c>
      <c r="R204" s="194" t="str">
        <f t="shared" si="32"/>
        <v/>
      </c>
      <c r="S204" s="195" t="str">
        <f t="shared" si="34"/>
        <v/>
      </c>
      <c r="T204" s="196" t="str">
        <f t="shared" si="35"/>
        <v/>
      </c>
      <c r="U204" s="197" t="str">
        <f t="shared" si="36"/>
        <v/>
      </c>
      <c r="V204" s="198" t="str">
        <f t="shared" si="33"/>
        <v/>
      </c>
      <c r="W204" s="339" t="str">
        <f t="shared" si="37"/>
        <v/>
      </c>
      <c r="X204" s="341" t="str">
        <f t="shared" si="38"/>
        <v/>
      </c>
      <c r="Y204" s="277"/>
      <c r="AR204" t="str">
        <f t="shared" si="39"/>
        <v/>
      </c>
      <c r="AS204" t="str">
        <f t="shared" si="40"/>
        <v/>
      </c>
    </row>
    <row r="205" spans="1:45">
      <c r="A205" s="294"/>
      <c r="B205" s="295"/>
      <c r="C205" s="296"/>
      <c r="D205" s="296"/>
      <c r="E205" s="296"/>
      <c r="F205" s="296"/>
      <c r="G205" s="297"/>
      <c r="H205" s="303"/>
      <c r="I205" s="298"/>
      <c r="J205" s="298"/>
      <c r="K205" s="299"/>
      <c r="L205" s="304"/>
      <c r="M205" s="300"/>
      <c r="N205" s="301"/>
      <c r="P205" s="193" t="str">
        <f>IF(R205 = "", "", COUNT(R$4:$R205))</f>
        <v/>
      </c>
      <c r="Q205" s="193" t="str">
        <f t="shared" si="31"/>
        <v/>
      </c>
      <c r="R205" s="194" t="str">
        <f t="shared" si="32"/>
        <v/>
      </c>
      <c r="S205" s="195" t="str">
        <f t="shared" si="34"/>
        <v/>
      </c>
      <c r="T205" s="196" t="str">
        <f t="shared" si="35"/>
        <v/>
      </c>
      <c r="U205" s="197" t="str">
        <f t="shared" si="36"/>
        <v/>
      </c>
      <c r="V205" s="198" t="str">
        <f t="shared" si="33"/>
        <v/>
      </c>
      <c r="W205" s="339" t="str">
        <f t="shared" si="37"/>
        <v/>
      </c>
      <c r="X205" s="341" t="str">
        <f t="shared" si="38"/>
        <v/>
      </c>
      <c r="Y205" s="277"/>
      <c r="AR205" t="str">
        <f t="shared" si="39"/>
        <v/>
      </c>
      <c r="AS205" t="str">
        <f t="shared" si="40"/>
        <v/>
      </c>
    </row>
    <row r="206" spans="1:45">
      <c r="A206" s="294"/>
      <c r="B206" s="295"/>
      <c r="C206" s="296"/>
      <c r="D206" s="296"/>
      <c r="E206" s="296"/>
      <c r="F206" s="296"/>
      <c r="G206" s="297"/>
      <c r="H206" s="303"/>
      <c r="I206" s="298"/>
      <c r="J206" s="298"/>
      <c r="K206" s="299"/>
      <c r="L206" s="304"/>
      <c r="M206" s="300"/>
      <c r="N206" s="301"/>
      <c r="P206" s="193" t="str">
        <f>IF(R206 = "", "", COUNT(R$4:$R206))</f>
        <v/>
      </c>
      <c r="Q206" s="193" t="str">
        <f t="shared" si="31"/>
        <v/>
      </c>
      <c r="R206" s="194" t="str">
        <f t="shared" si="32"/>
        <v/>
      </c>
      <c r="S206" s="195" t="str">
        <f t="shared" si="34"/>
        <v/>
      </c>
      <c r="T206" s="196" t="str">
        <f t="shared" si="35"/>
        <v/>
      </c>
      <c r="U206" s="197" t="str">
        <f t="shared" si="36"/>
        <v/>
      </c>
      <c r="V206" s="198" t="str">
        <f t="shared" si="33"/>
        <v/>
      </c>
      <c r="W206" s="339" t="str">
        <f t="shared" si="37"/>
        <v/>
      </c>
      <c r="X206" s="341" t="str">
        <f t="shared" si="38"/>
        <v/>
      </c>
      <c r="Y206" s="277"/>
      <c r="AR206" t="str">
        <f t="shared" si="39"/>
        <v/>
      </c>
      <c r="AS206" t="str">
        <f t="shared" si="40"/>
        <v/>
      </c>
    </row>
    <row r="207" spans="1:45">
      <c r="A207" s="294"/>
      <c r="B207" s="295"/>
      <c r="C207" s="296"/>
      <c r="D207" s="296"/>
      <c r="E207" s="296"/>
      <c r="F207" s="296"/>
      <c r="G207" s="297"/>
      <c r="H207" s="303"/>
      <c r="I207" s="298"/>
      <c r="J207" s="298"/>
      <c r="K207" s="299"/>
      <c r="L207" s="304"/>
      <c r="M207" s="300"/>
      <c r="N207" s="301"/>
      <c r="P207" s="193" t="str">
        <f>IF(R207 = "", "", COUNT(R$4:$R207))</f>
        <v/>
      </c>
      <c r="Q207" s="193" t="str">
        <f t="shared" si="31"/>
        <v/>
      </c>
      <c r="R207" s="194" t="str">
        <f t="shared" si="32"/>
        <v/>
      </c>
      <c r="S207" s="195" t="str">
        <f t="shared" si="34"/>
        <v/>
      </c>
      <c r="T207" s="196" t="str">
        <f t="shared" si="35"/>
        <v/>
      </c>
      <c r="U207" s="197" t="str">
        <f t="shared" si="36"/>
        <v/>
      </c>
      <c r="V207" s="198" t="str">
        <f t="shared" si="33"/>
        <v/>
      </c>
      <c r="W207" s="339" t="str">
        <f t="shared" si="37"/>
        <v/>
      </c>
      <c r="X207" s="341" t="str">
        <f t="shared" si="38"/>
        <v/>
      </c>
      <c r="Y207" s="277"/>
      <c r="AR207" t="str">
        <f t="shared" si="39"/>
        <v/>
      </c>
      <c r="AS207" t="str">
        <f t="shared" si="40"/>
        <v/>
      </c>
    </row>
    <row r="208" spans="1:45">
      <c r="A208" s="294"/>
      <c r="B208" s="295"/>
      <c r="C208" s="296"/>
      <c r="D208" s="296"/>
      <c r="E208" s="296"/>
      <c r="F208" s="296"/>
      <c r="G208" s="297"/>
      <c r="H208" s="303"/>
      <c r="I208" s="298"/>
      <c r="J208" s="298"/>
      <c r="K208" s="299"/>
      <c r="L208" s="304"/>
      <c r="M208" s="300"/>
      <c r="N208" s="301"/>
      <c r="P208" s="193" t="str">
        <f>IF(R208 = "", "", COUNT(R$4:$R208))</f>
        <v/>
      </c>
      <c r="Q208" s="193" t="str">
        <f t="shared" si="31"/>
        <v/>
      </c>
      <c r="R208" s="194" t="str">
        <f t="shared" si="32"/>
        <v/>
      </c>
      <c r="S208" s="195" t="str">
        <f t="shared" si="34"/>
        <v/>
      </c>
      <c r="T208" s="196" t="str">
        <f t="shared" si="35"/>
        <v/>
      </c>
      <c r="U208" s="197" t="str">
        <f t="shared" si="36"/>
        <v/>
      </c>
      <c r="V208" s="198" t="str">
        <f t="shared" si="33"/>
        <v/>
      </c>
      <c r="W208" s="339" t="str">
        <f t="shared" si="37"/>
        <v/>
      </c>
      <c r="X208" s="341" t="str">
        <f t="shared" si="38"/>
        <v/>
      </c>
      <c r="Y208" s="277"/>
      <c r="AR208" t="str">
        <f t="shared" si="39"/>
        <v/>
      </c>
      <c r="AS208" t="str">
        <f t="shared" si="40"/>
        <v/>
      </c>
    </row>
    <row r="209" spans="1:45">
      <c r="A209" s="294"/>
      <c r="B209" s="295"/>
      <c r="C209" s="296"/>
      <c r="D209" s="296"/>
      <c r="E209" s="296"/>
      <c r="F209" s="296"/>
      <c r="G209" s="297"/>
      <c r="H209" s="303"/>
      <c r="I209" s="298"/>
      <c r="J209" s="298"/>
      <c r="K209" s="299"/>
      <c r="L209" s="304"/>
      <c r="M209" s="300"/>
      <c r="N209" s="301"/>
      <c r="P209" s="193" t="str">
        <f>IF(R209 = "", "", COUNT(R$4:$R209))</f>
        <v/>
      </c>
      <c r="Q209" s="193" t="str">
        <f t="shared" si="31"/>
        <v/>
      </c>
      <c r="R209" s="194" t="str">
        <f t="shared" si="32"/>
        <v/>
      </c>
      <c r="S209" s="195" t="str">
        <f t="shared" si="34"/>
        <v/>
      </c>
      <c r="T209" s="196" t="str">
        <f t="shared" si="35"/>
        <v/>
      </c>
      <c r="U209" s="197" t="str">
        <f t="shared" si="36"/>
        <v/>
      </c>
      <c r="V209" s="198" t="str">
        <f t="shared" si="33"/>
        <v/>
      </c>
      <c r="W209" s="339" t="str">
        <f t="shared" si="37"/>
        <v/>
      </c>
      <c r="X209" s="341" t="str">
        <f t="shared" si="38"/>
        <v/>
      </c>
      <c r="Y209" s="277"/>
      <c r="AR209" t="str">
        <f t="shared" si="39"/>
        <v/>
      </c>
      <c r="AS209" t="str">
        <f t="shared" si="40"/>
        <v/>
      </c>
    </row>
    <row r="210" spans="1:45">
      <c r="A210" s="294"/>
      <c r="B210" s="295"/>
      <c r="C210" s="296"/>
      <c r="D210" s="296"/>
      <c r="E210" s="296"/>
      <c r="F210" s="296"/>
      <c r="G210" s="297"/>
      <c r="H210" s="303"/>
      <c r="I210" s="298"/>
      <c r="J210" s="298"/>
      <c r="K210" s="299"/>
      <c r="L210" s="304"/>
      <c r="M210" s="300"/>
      <c r="N210" s="301"/>
      <c r="P210" s="193" t="str">
        <f>IF(R210 = "", "", COUNT(R$4:$R210))</f>
        <v/>
      </c>
      <c r="Q210" s="193" t="str">
        <f t="shared" si="31"/>
        <v/>
      </c>
      <c r="R210" s="194" t="str">
        <f t="shared" si="32"/>
        <v/>
      </c>
      <c r="S210" s="195" t="str">
        <f t="shared" si="34"/>
        <v/>
      </c>
      <c r="T210" s="196" t="str">
        <f t="shared" si="35"/>
        <v/>
      </c>
      <c r="U210" s="197" t="str">
        <f t="shared" si="36"/>
        <v/>
      </c>
      <c r="V210" s="198" t="str">
        <f t="shared" si="33"/>
        <v/>
      </c>
      <c r="W210" s="339" t="str">
        <f t="shared" si="37"/>
        <v/>
      </c>
      <c r="X210" s="341" t="str">
        <f t="shared" si="38"/>
        <v/>
      </c>
      <c r="Y210" s="277"/>
      <c r="AR210" t="str">
        <f t="shared" si="39"/>
        <v/>
      </c>
      <c r="AS210" t="str">
        <f t="shared" si="40"/>
        <v/>
      </c>
    </row>
    <row r="211" spans="1:45">
      <c r="A211" s="294"/>
      <c r="B211" s="295"/>
      <c r="C211" s="296"/>
      <c r="D211" s="296"/>
      <c r="E211" s="296"/>
      <c r="F211" s="296"/>
      <c r="G211" s="297"/>
      <c r="H211" s="303"/>
      <c r="I211" s="298"/>
      <c r="J211" s="298"/>
      <c r="K211" s="299"/>
      <c r="L211" s="304"/>
      <c r="M211" s="300"/>
      <c r="N211" s="301"/>
      <c r="P211" s="193" t="str">
        <f>IF(R211 = "", "", COUNT(R$4:$R211))</f>
        <v/>
      </c>
      <c r="Q211" s="193" t="str">
        <f t="shared" si="31"/>
        <v/>
      </c>
      <c r="R211" s="194" t="str">
        <f t="shared" si="32"/>
        <v/>
      </c>
      <c r="S211" s="195" t="str">
        <f t="shared" si="34"/>
        <v/>
      </c>
      <c r="T211" s="196" t="str">
        <f t="shared" si="35"/>
        <v/>
      </c>
      <c r="U211" s="197" t="str">
        <f t="shared" si="36"/>
        <v/>
      </c>
      <c r="V211" s="198" t="str">
        <f t="shared" si="33"/>
        <v/>
      </c>
      <c r="W211" s="339" t="str">
        <f t="shared" si="37"/>
        <v/>
      </c>
      <c r="X211" s="341" t="str">
        <f t="shared" si="38"/>
        <v/>
      </c>
      <c r="Y211" s="277"/>
      <c r="AR211" t="str">
        <f t="shared" si="39"/>
        <v/>
      </c>
      <c r="AS211" t="str">
        <f t="shared" si="40"/>
        <v/>
      </c>
    </row>
    <row r="212" spans="1:45">
      <c r="A212" s="294"/>
      <c r="B212" s="295"/>
      <c r="C212" s="296"/>
      <c r="D212" s="296"/>
      <c r="E212" s="296"/>
      <c r="F212" s="296"/>
      <c r="G212" s="297"/>
      <c r="H212" s="303"/>
      <c r="I212" s="298"/>
      <c r="J212" s="298"/>
      <c r="K212" s="299"/>
      <c r="L212" s="304"/>
      <c r="M212" s="300"/>
      <c r="N212" s="301"/>
      <c r="P212" s="193" t="str">
        <f>IF(R212 = "", "", COUNT(R$4:$R212))</f>
        <v/>
      </c>
      <c r="Q212" s="193" t="str">
        <f t="shared" si="31"/>
        <v/>
      </c>
      <c r="R212" s="194" t="str">
        <f t="shared" si="32"/>
        <v/>
      </c>
      <c r="S212" s="195" t="str">
        <f t="shared" si="34"/>
        <v/>
      </c>
      <c r="T212" s="196" t="str">
        <f t="shared" si="35"/>
        <v/>
      </c>
      <c r="U212" s="197" t="str">
        <f t="shared" si="36"/>
        <v/>
      </c>
      <c r="V212" s="198" t="str">
        <f t="shared" si="33"/>
        <v/>
      </c>
      <c r="W212" s="339" t="str">
        <f t="shared" si="37"/>
        <v/>
      </c>
      <c r="X212" s="341" t="str">
        <f t="shared" si="38"/>
        <v/>
      </c>
      <c r="Y212" s="277"/>
      <c r="AR212" t="str">
        <f t="shared" si="39"/>
        <v/>
      </c>
      <c r="AS212" t="str">
        <f t="shared" si="40"/>
        <v/>
      </c>
    </row>
    <row r="213" spans="1:45">
      <c r="A213" s="294"/>
      <c r="B213" s="295"/>
      <c r="C213" s="296"/>
      <c r="D213" s="296"/>
      <c r="E213" s="296"/>
      <c r="F213" s="296"/>
      <c r="G213" s="297"/>
      <c r="H213" s="303"/>
      <c r="I213" s="298"/>
      <c r="J213" s="298"/>
      <c r="K213" s="299"/>
      <c r="L213" s="304"/>
      <c r="M213" s="300"/>
      <c r="N213" s="301"/>
      <c r="P213" s="193" t="str">
        <f>IF(R213 = "", "", COUNT(R$4:$R213))</f>
        <v/>
      </c>
      <c r="Q213" s="193" t="str">
        <f t="shared" si="31"/>
        <v/>
      </c>
      <c r="R213" s="194" t="str">
        <f t="shared" si="32"/>
        <v/>
      </c>
      <c r="S213" s="195" t="str">
        <f t="shared" si="34"/>
        <v/>
      </c>
      <c r="T213" s="196" t="str">
        <f t="shared" si="35"/>
        <v/>
      </c>
      <c r="U213" s="197" t="str">
        <f t="shared" si="36"/>
        <v/>
      </c>
      <c r="V213" s="198" t="str">
        <f t="shared" si="33"/>
        <v/>
      </c>
      <c r="W213" s="339" t="str">
        <f t="shared" si="37"/>
        <v/>
      </c>
      <c r="X213" s="341" t="str">
        <f t="shared" si="38"/>
        <v/>
      </c>
      <c r="Y213" s="277"/>
      <c r="AR213" t="str">
        <f t="shared" si="39"/>
        <v/>
      </c>
      <c r="AS213" t="str">
        <f t="shared" si="40"/>
        <v/>
      </c>
    </row>
    <row r="214" spans="1:45">
      <c r="A214" s="294"/>
      <c r="B214" s="295"/>
      <c r="C214" s="296"/>
      <c r="D214" s="296"/>
      <c r="E214" s="296"/>
      <c r="F214" s="296"/>
      <c r="G214" s="297"/>
      <c r="H214" s="303"/>
      <c r="I214" s="298"/>
      <c r="J214" s="298"/>
      <c r="K214" s="299"/>
      <c r="L214" s="304"/>
      <c r="M214" s="300"/>
      <c r="N214" s="301"/>
      <c r="P214" s="193" t="str">
        <f>IF(R214 = "", "", COUNT(R$4:$R214))</f>
        <v/>
      </c>
      <c r="Q214" s="193" t="str">
        <f t="shared" si="31"/>
        <v/>
      </c>
      <c r="R214" s="194" t="str">
        <f t="shared" si="32"/>
        <v/>
      </c>
      <c r="S214" s="195" t="str">
        <f t="shared" si="34"/>
        <v/>
      </c>
      <c r="T214" s="196" t="str">
        <f t="shared" si="35"/>
        <v/>
      </c>
      <c r="U214" s="197" t="str">
        <f t="shared" si="36"/>
        <v/>
      </c>
      <c r="V214" s="198" t="str">
        <f t="shared" si="33"/>
        <v/>
      </c>
      <c r="W214" s="339" t="str">
        <f t="shared" si="37"/>
        <v/>
      </c>
      <c r="X214" s="341" t="str">
        <f t="shared" si="38"/>
        <v/>
      </c>
      <c r="Y214" s="277"/>
      <c r="AR214" t="str">
        <f t="shared" si="39"/>
        <v/>
      </c>
      <c r="AS214" t="str">
        <f t="shared" si="40"/>
        <v/>
      </c>
    </row>
    <row r="215" spans="1:45">
      <c r="A215" s="294"/>
      <c r="B215" s="295"/>
      <c r="C215" s="296"/>
      <c r="D215" s="296"/>
      <c r="E215" s="296"/>
      <c r="F215" s="296"/>
      <c r="G215" s="297"/>
      <c r="H215" s="303"/>
      <c r="I215" s="298"/>
      <c r="J215" s="298"/>
      <c r="K215" s="299"/>
      <c r="L215" s="304"/>
      <c r="M215" s="300"/>
      <c r="N215" s="301"/>
      <c r="P215" s="193" t="str">
        <f>IF(R215 = "", "", COUNT(R$4:$R215))</f>
        <v/>
      </c>
      <c r="Q215" s="193" t="str">
        <f t="shared" si="31"/>
        <v/>
      </c>
      <c r="R215" s="194" t="str">
        <f t="shared" si="32"/>
        <v/>
      </c>
      <c r="S215" s="195" t="str">
        <f t="shared" si="34"/>
        <v/>
      </c>
      <c r="T215" s="196" t="str">
        <f t="shared" si="35"/>
        <v/>
      </c>
      <c r="U215" s="197" t="str">
        <f t="shared" si="36"/>
        <v/>
      </c>
      <c r="V215" s="198" t="str">
        <f t="shared" si="33"/>
        <v/>
      </c>
      <c r="W215" s="339" t="str">
        <f t="shared" si="37"/>
        <v/>
      </c>
      <c r="X215" s="341" t="str">
        <f t="shared" si="38"/>
        <v/>
      </c>
      <c r="Y215" s="277"/>
      <c r="AR215" t="str">
        <f t="shared" si="39"/>
        <v/>
      </c>
      <c r="AS215" t="str">
        <f t="shared" si="40"/>
        <v/>
      </c>
    </row>
    <row r="216" spans="1:45">
      <c r="A216" s="294"/>
      <c r="B216" s="295"/>
      <c r="C216" s="296"/>
      <c r="D216" s="296"/>
      <c r="E216" s="296"/>
      <c r="F216" s="296"/>
      <c r="G216" s="297"/>
      <c r="H216" s="303"/>
      <c r="I216" s="298"/>
      <c r="J216" s="298"/>
      <c r="K216" s="299"/>
      <c r="L216" s="304"/>
      <c r="M216" s="300"/>
      <c r="N216" s="301"/>
      <c r="P216" s="193" t="str">
        <f>IF(R216 = "", "", COUNT(R$4:$R216))</f>
        <v/>
      </c>
      <c r="Q216" s="193" t="str">
        <f t="shared" si="31"/>
        <v/>
      </c>
      <c r="R216" s="194" t="str">
        <f t="shared" si="32"/>
        <v/>
      </c>
      <c r="S216" s="195" t="str">
        <f t="shared" si="34"/>
        <v/>
      </c>
      <c r="T216" s="196" t="str">
        <f t="shared" si="35"/>
        <v/>
      </c>
      <c r="U216" s="197" t="str">
        <f t="shared" si="36"/>
        <v/>
      </c>
      <c r="V216" s="198" t="str">
        <f t="shared" si="33"/>
        <v/>
      </c>
      <c r="W216" s="339" t="str">
        <f t="shared" si="37"/>
        <v/>
      </c>
      <c r="X216" s="341" t="str">
        <f t="shared" si="38"/>
        <v/>
      </c>
      <c r="Y216" s="277"/>
      <c r="AR216" t="str">
        <f t="shared" si="39"/>
        <v/>
      </c>
      <c r="AS216" t="str">
        <f t="shared" si="40"/>
        <v/>
      </c>
    </row>
    <row r="217" spans="1:45">
      <c r="A217" s="294"/>
      <c r="B217" s="295"/>
      <c r="C217" s="296"/>
      <c r="D217" s="296"/>
      <c r="E217" s="296"/>
      <c r="F217" s="296"/>
      <c r="G217" s="297"/>
      <c r="H217" s="303"/>
      <c r="I217" s="298"/>
      <c r="J217" s="298"/>
      <c r="K217" s="299"/>
      <c r="L217" s="304"/>
      <c r="M217" s="300"/>
      <c r="N217" s="301"/>
      <c r="P217" s="193" t="str">
        <f>IF(R217 = "", "", COUNT(R$4:$R217))</f>
        <v/>
      </c>
      <c r="Q217" s="193" t="str">
        <f t="shared" si="31"/>
        <v/>
      </c>
      <c r="R217" s="194" t="str">
        <f t="shared" si="32"/>
        <v/>
      </c>
      <c r="S217" s="195" t="str">
        <f t="shared" si="34"/>
        <v/>
      </c>
      <c r="T217" s="196" t="str">
        <f t="shared" si="35"/>
        <v/>
      </c>
      <c r="U217" s="197" t="str">
        <f t="shared" si="36"/>
        <v/>
      </c>
      <c r="V217" s="198" t="str">
        <f t="shared" si="33"/>
        <v/>
      </c>
      <c r="W217" s="339" t="str">
        <f t="shared" si="37"/>
        <v/>
      </c>
      <c r="X217" s="341" t="str">
        <f t="shared" si="38"/>
        <v/>
      </c>
      <c r="Y217" s="277"/>
      <c r="AR217" t="str">
        <f t="shared" si="39"/>
        <v/>
      </c>
      <c r="AS217" t="str">
        <f t="shared" si="40"/>
        <v/>
      </c>
    </row>
    <row r="218" spans="1:45">
      <c r="A218" s="294"/>
      <c r="B218" s="295"/>
      <c r="C218" s="296"/>
      <c r="D218" s="296"/>
      <c r="E218" s="296"/>
      <c r="F218" s="296"/>
      <c r="G218" s="297"/>
      <c r="H218" s="303"/>
      <c r="I218" s="298"/>
      <c r="J218" s="298"/>
      <c r="K218" s="299"/>
      <c r="L218" s="304"/>
      <c r="M218" s="300"/>
      <c r="N218" s="301"/>
      <c r="P218" s="193" t="str">
        <f>IF(R218 = "", "", COUNT(R$4:$R218))</f>
        <v/>
      </c>
      <c r="Q218" s="193" t="str">
        <f t="shared" si="31"/>
        <v/>
      </c>
      <c r="R218" s="194" t="str">
        <f t="shared" si="32"/>
        <v/>
      </c>
      <c r="S218" s="195" t="str">
        <f t="shared" si="34"/>
        <v/>
      </c>
      <c r="T218" s="196" t="str">
        <f t="shared" si="35"/>
        <v/>
      </c>
      <c r="U218" s="197" t="str">
        <f t="shared" si="36"/>
        <v/>
      </c>
      <c r="V218" s="198" t="str">
        <f t="shared" si="33"/>
        <v/>
      </c>
      <c r="W218" s="339" t="str">
        <f t="shared" si="37"/>
        <v/>
      </c>
      <c r="X218" s="341" t="str">
        <f t="shared" si="38"/>
        <v/>
      </c>
      <c r="Y218" s="277"/>
      <c r="AR218" t="str">
        <f t="shared" si="39"/>
        <v/>
      </c>
      <c r="AS218" t="str">
        <f t="shared" si="40"/>
        <v/>
      </c>
    </row>
    <row r="219" spans="1:45">
      <c r="A219" s="294"/>
      <c r="B219" s="295"/>
      <c r="C219" s="296"/>
      <c r="D219" s="296"/>
      <c r="E219" s="296"/>
      <c r="F219" s="296"/>
      <c r="G219" s="297"/>
      <c r="H219" s="303"/>
      <c r="I219" s="298"/>
      <c r="J219" s="298"/>
      <c r="K219" s="299"/>
      <c r="L219" s="304"/>
      <c r="M219" s="300"/>
      <c r="N219" s="301"/>
      <c r="P219" s="193" t="str">
        <f>IF(R219 = "", "", COUNT(R$4:$R219))</f>
        <v/>
      </c>
      <c r="Q219" s="193" t="str">
        <f t="shared" si="31"/>
        <v/>
      </c>
      <c r="R219" s="194" t="str">
        <f t="shared" si="32"/>
        <v/>
      </c>
      <c r="S219" s="195" t="str">
        <f t="shared" si="34"/>
        <v/>
      </c>
      <c r="T219" s="196" t="str">
        <f t="shared" si="35"/>
        <v/>
      </c>
      <c r="U219" s="197" t="str">
        <f t="shared" si="36"/>
        <v/>
      </c>
      <c r="V219" s="198" t="str">
        <f t="shared" si="33"/>
        <v/>
      </c>
      <c r="W219" s="339" t="str">
        <f t="shared" si="37"/>
        <v/>
      </c>
      <c r="X219" s="341" t="str">
        <f t="shared" si="38"/>
        <v/>
      </c>
      <c r="Y219" s="277"/>
      <c r="AR219" t="str">
        <f t="shared" si="39"/>
        <v/>
      </c>
      <c r="AS219" t="str">
        <f t="shared" si="40"/>
        <v/>
      </c>
    </row>
    <row r="220" spans="1:45">
      <c r="A220" s="294"/>
      <c r="B220" s="295"/>
      <c r="C220" s="296"/>
      <c r="D220" s="296"/>
      <c r="E220" s="296"/>
      <c r="F220" s="296"/>
      <c r="G220" s="297"/>
      <c r="H220" s="303"/>
      <c r="I220" s="298"/>
      <c r="J220" s="298"/>
      <c r="K220" s="299"/>
      <c r="L220" s="304"/>
      <c r="M220" s="300"/>
      <c r="N220" s="301"/>
      <c r="P220" s="193" t="str">
        <f>IF(R220 = "", "", COUNT(R$4:$R220))</f>
        <v/>
      </c>
      <c r="Q220" s="193" t="str">
        <f t="shared" si="31"/>
        <v/>
      </c>
      <c r="R220" s="194" t="str">
        <f t="shared" si="32"/>
        <v/>
      </c>
      <c r="S220" s="195" t="str">
        <f t="shared" si="34"/>
        <v/>
      </c>
      <c r="T220" s="196" t="str">
        <f t="shared" si="35"/>
        <v/>
      </c>
      <c r="U220" s="197" t="str">
        <f t="shared" si="36"/>
        <v/>
      </c>
      <c r="V220" s="198" t="str">
        <f t="shared" si="33"/>
        <v/>
      </c>
      <c r="W220" s="339" t="str">
        <f t="shared" si="37"/>
        <v/>
      </c>
      <c r="X220" s="341" t="str">
        <f t="shared" si="38"/>
        <v/>
      </c>
      <c r="Y220" s="277"/>
      <c r="AR220" t="str">
        <f t="shared" si="39"/>
        <v/>
      </c>
      <c r="AS220" t="str">
        <f t="shared" si="40"/>
        <v/>
      </c>
    </row>
    <row r="221" spans="1:45">
      <c r="A221" s="294"/>
      <c r="B221" s="295"/>
      <c r="C221" s="296"/>
      <c r="D221" s="296"/>
      <c r="E221" s="296"/>
      <c r="F221" s="296"/>
      <c r="G221" s="297"/>
      <c r="H221" s="303"/>
      <c r="I221" s="298"/>
      <c r="J221" s="298"/>
      <c r="K221" s="299"/>
      <c r="L221" s="304"/>
      <c r="M221" s="300"/>
      <c r="N221" s="301"/>
      <c r="P221" s="193" t="str">
        <f>IF(R221 = "", "", COUNT(R$4:$R221))</f>
        <v/>
      </c>
      <c r="Q221" s="193" t="str">
        <f t="shared" si="31"/>
        <v/>
      </c>
      <c r="R221" s="194" t="str">
        <f t="shared" si="32"/>
        <v/>
      </c>
      <c r="S221" s="195" t="str">
        <f t="shared" si="34"/>
        <v/>
      </c>
      <c r="T221" s="196" t="str">
        <f t="shared" si="35"/>
        <v/>
      </c>
      <c r="U221" s="197" t="str">
        <f t="shared" si="36"/>
        <v/>
      </c>
      <c r="V221" s="198" t="str">
        <f t="shared" si="33"/>
        <v/>
      </c>
      <c r="W221" s="339" t="str">
        <f t="shared" si="37"/>
        <v/>
      </c>
      <c r="X221" s="341" t="str">
        <f t="shared" si="38"/>
        <v/>
      </c>
      <c r="Y221" s="277"/>
      <c r="AR221" t="str">
        <f t="shared" si="39"/>
        <v/>
      </c>
      <c r="AS221" t="str">
        <f t="shared" si="40"/>
        <v/>
      </c>
    </row>
    <row r="222" spans="1:45">
      <c r="A222" s="294"/>
      <c r="B222" s="295"/>
      <c r="C222" s="296"/>
      <c r="D222" s="296"/>
      <c r="E222" s="296"/>
      <c r="F222" s="296"/>
      <c r="G222" s="297"/>
      <c r="H222" s="303"/>
      <c r="I222" s="298"/>
      <c r="J222" s="298"/>
      <c r="K222" s="299"/>
      <c r="L222" s="304"/>
      <c r="M222" s="300"/>
      <c r="N222" s="301"/>
      <c r="P222" s="193" t="str">
        <f>IF(R222 = "", "", COUNT(R$4:$R222))</f>
        <v/>
      </c>
      <c r="Q222" s="193" t="str">
        <f t="shared" si="31"/>
        <v/>
      </c>
      <c r="R222" s="194" t="str">
        <f t="shared" si="32"/>
        <v/>
      </c>
      <c r="S222" s="195" t="str">
        <f t="shared" si="34"/>
        <v/>
      </c>
      <c r="T222" s="196" t="str">
        <f t="shared" si="35"/>
        <v/>
      </c>
      <c r="U222" s="197" t="str">
        <f t="shared" si="36"/>
        <v/>
      </c>
      <c r="V222" s="198" t="str">
        <f t="shared" si="33"/>
        <v/>
      </c>
      <c r="W222" s="339" t="str">
        <f t="shared" si="37"/>
        <v/>
      </c>
      <c r="X222" s="341" t="str">
        <f t="shared" si="38"/>
        <v/>
      </c>
      <c r="Y222" s="277"/>
      <c r="AR222" t="str">
        <f t="shared" si="39"/>
        <v/>
      </c>
      <c r="AS222" t="str">
        <f t="shared" si="40"/>
        <v/>
      </c>
    </row>
    <row r="223" spans="1:45">
      <c r="A223" s="294"/>
      <c r="B223" s="295"/>
      <c r="C223" s="296"/>
      <c r="D223" s="296"/>
      <c r="E223" s="296"/>
      <c r="F223" s="296"/>
      <c r="G223" s="297"/>
      <c r="H223" s="303"/>
      <c r="I223" s="298"/>
      <c r="J223" s="298"/>
      <c r="K223" s="299"/>
      <c r="L223" s="304"/>
      <c r="M223" s="300"/>
      <c r="N223" s="301"/>
      <c r="P223" s="193" t="str">
        <f>IF(R223 = "", "", COUNT(R$4:$R223))</f>
        <v/>
      </c>
      <c r="Q223" s="193" t="str">
        <f t="shared" si="31"/>
        <v/>
      </c>
      <c r="R223" s="194" t="str">
        <f t="shared" si="32"/>
        <v/>
      </c>
      <c r="S223" s="195" t="str">
        <f t="shared" si="34"/>
        <v/>
      </c>
      <c r="T223" s="196" t="str">
        <f t="shared" si="35"/>
        <v/>
      </c>
      <c r="U223" s="197" t="str">
        <f t="shared" si="36"/>
        <v/>
      </c>
      <c r="V223" s="198" t="str">
        <f t="shared" si="33"/>
        <v/>
      </c>
      <c r="W223" s="339" t="str">
        <f t="shared" si="37"/>
        <v/>
      </c>
      <c r="X223" s="341" t="str">
        <f t="shared" si="38"/>
        <v/>
      </c>
      <c r="Y223" s="277"/>
      <c r="AR223" t="str">
        <f t="shared" si="39"/>
        <v/>
      </c>
      <c r="AS223" t="str">
        <f t="shared" si="40"/>
        <v/>
      </c>
    </row>
    <row r="224" spans="1:45">
      <c r="A224" s="294"/>
      <c r="B224" s="295"/>
      <c r="C224" s="296"/>
      <c r="D224" s="296"/>
      <c r="E224" s="296"/>
      <c r="F224" s="296"/>
      <c r="G224" s="297"/>
      <c r="H224" s="303"/>
      <c r="I224" s="298"/>
      <c r="J224" s="298"/>
      <c r="K224" s="299"/>
      <c r="L224" s="304"/>
      <c r="M224" s="300"/>
      <c r="N224" s="301"/>
      <c r="P224" s="193" t="str">
        <f>IF(R224 = "", "", COUNT(R$4:$R224))</f>
        <v/>
      </c>
      <c r="Q224" s="193" t="str">
        <f t="shared" si="31"/>
        <v/>
      </c>
      <c r="R224" s="194" t="str">
        <f t="shared" si="32"/>
        <v/>
      </c>
      <c r="S224" s="195" t="str">
        <f t="shared" si="34"/>
        <v/>
      </c>
      <c r="T224" s="196" t="str">
        <f t="shared" si="35"/>
        <v/>
      </c>
      <c r="U224" s="197" t="str">
        <f t="shared" si="36"/>
        <v/>
      </c>
      <c r="V224" s="198" t="str">
        <f t="shared" si="33"/>
        <v/>
      </c>
      <c r="W224" s="339" t="str">
        <f t="shared" si="37"/>
        <v/>
      </c>
      <c r="X224" s="341" t="str">
        <f t="shared" si="38"/>
        <v/>
      </c>
      <c r="Y224" s="277"/>
      <c r="AR224" t="str">
        <f t="shared" si="39"/>
        <v/>
      </c>
      <c r="AS224" t="str">
        <f t="shared" si="40"/>
        <v/>
      </c>
    </row>
    <row r="225" spans="1:45">
      <c r="A225" s="294"/>
      <c r="B225" s="295"/>
      <c r="C225" s="296"/>
      <c r="D225" s="296"/>
      <c r="E225" s="296"/>
      <c r="F225" s="296"/>
      <c r="G225" s="297"/>
      <c r="H225" s="303"/>
      <c r="I225" s="298"/>
      <c r="J225" s="298"/>
      <c r="K225" s="299"/>
      <c r="L225" s="304"/>
      <c r="M225" s="300"/>
      <c r="N225" s="301"/>
      <c r="P225" s="193" t="str">
        <f>IF(R225 = "", "", COUNT(R$4:$R225))</f>
        <v/>
      </c>
      <c r="Q225" s="193" t="str">
        <f t="shared" si="31"/>
        <v/>
      </c>
      <c r="R225" s="194" t="str">
        <f t="shared" si="32"/>
        <v/>
      </c>
      <c r="S225" s="195" t="str">
        <f t="shared" si="34"/>
        <v/>
      </c>
      <c r="T225" s="196" t="str">
        <f t="shared" si="35"/>
        <v/>
      </c>
      <c r="U225" s="197" t="str">
        <f t="shared" si="36"/>
        <v/>
      </c>
      <c r="V225" s="198" t="str">
        <f t="shared" si="33"/>
        <v/>
      </c>
      <c r="W225" s="339" t="str">
        <f t="shared" si="37"/>
        <v/>
      </c>
      <c r="X225" s="341" t="str">
        <f t="shared" si="38"/>
        <v/>
      </c>
      <c r="Y225" s="277"/>
      <c r="AR225" t="str">
        <f t="shared" si="39"/>
        <v/>
      </c>
      <c r="AS225" t="str">
        <f t="shared" si="40"/>
        <v/>
      </c>
    </row>
    <row r="226" spans="1:45">
      <c r="A226" s="294"/>
      <c r="B226" s="295"/>
      <c r="C226" s="296"/>
      <c r="D226" s="296"/>
      <c r="E226" s="296"/>
      <c r="F226" s="296"/>
      <c r="G226" s="297"/>
      <c r="H226" s="303"/>
      <c r="I226" s="298"/>
      <c r="J226" s="298"/>
      <c r="K226" s="299"/>
      <c r="L226" s="304"/>
      <c r="M226" s="300"/>
      <c r="N226" s="301"/>
      <c r="P226" s="193" t="str">
        <f>IF(R226 = "", "", COUNT(R$4:$R226))</f>
        <v/>
      </c>
      <c r="Q226" s="193" t="str">
        <f t="shared" si="31"/>
        <v/>
      </c>
      <c r="R226" s="194" t="str">
        <f t="shared" si="32"/>
        <v/>
      </c>
      <c r="S226" s="195" t="str">
        <f t="shared" si="34"/>
        <v/>
      </c>
      <c r="T226" s="196" t="str">
        <f t="shared" si="35"/>
        <v/>
      </c>
      <c r="U226" s="197" t="str">
        <f t="shared" si="36"/>
        <v/>
      </c>
      <c r="V226" s="198" t="str">
        <f t="shared" si="33"/>
        <v/>
      </c>
      <c r="W226" s="339" t="str">
        <f t="shared" si="37"/>
        <v/>
      </c>
      <c r="X226" s="341" t="str">
        <f t="shared" si="38"/>
        <v/>
      </c>
      <c r="Y226" s="277"/>
      <c r="AR226" t="str">
        <f t="shared" si="39"/>
        <v/>
      </c>
      <c r="AS226" t="str">
        <f t="shared" si="40"/>
        <v/>
      </c>
    </row>
    <row r="227" spans="1:45">
      <c r="A227" s="294"/>
      <c r="B227" s="295"/>
      <c r="C227" s="296"/>
      <c r="D227" s="296"/>
      <c r="E227" s="296"/>
      <c r="F227" s="296"/>
      <c r="G227" s="297"/>
      <c r="H227" s="303"/>
      <c r="I227" s="298"/>
      <c r="J227" s="298"/>
      <c r="K227" s="299"/>
      <c r="L227" s="304"/>
      <c r="M227" s="300"/>
      <c r="N227" s="301"/>
      <c r="P227" s="193" t="str">
        <f>IF(R227 = "", "", COUNT(R$4:$R227))</f>
        <v/>
      </c>
      <c r="Q227" s="193" t="str">
        <f t="shared" si="31"/>
        <v/>
      </c>
      <c r="R227" s="194" t="str">
        <f t="shared" si="32"/>
        <v/>
      </c>
      <c r="S227" s="195" t="str">
        <f t="shared" si="34"/>
        <v/>
      </c>
      <c r="T227" s="196" t="str">
        <f t="shared" si="35"/>
        <v/>
      </c>
      <c r="U227" s="197" t="str">
        <f t="shared" si="36"/>
        <v/>
      </c>
      <c r="V227" s="198" t="str">
        <f t="shared" si="33"/>
        <v/>
      </c>
      <c r="W227" s="339" t="str">
        <f t="shared" si="37"/>
        <v/>
      </c>
      <c r="X227" s="341" t="str">
        <f t="shared" si="38"/>
        <v/>
      </c>
      <c r="Y227" s="277"/>
      <c r="AR227" t="str">
        <f t="shared" si="39"/>
        <v/>
      </c>
      <c r="AS227" t="str">
        <f t="shared" si="40"/>
        <v/>
      </c>
    </row>
    <row r="228" spans="1:45">
      <c r="A228" s="294"/>
      <c r="B228" s="295"/>
      <c r="C228" s="296"/>
      <c r="D228" s="296"/>
      <c r="E228" s="296"/>
      <c r="F228" s="296"/>
      <c r="G228" s="297"/>
      <c r="H228" s="303"/>
      <c r="I228" s="298"/>
      <c r="J228" s="298"/>
      <c r="K228" s="299"/>
      <c r="L228" s="304"/>
      <c r="M228" s="300"/>
      <c r="N228" s="301"/>
      <c r="P228" s="193" t="str">
        <f>IF(R228 = "", "", COUNT(R$4:$R228))</f>
        <v/>
      </c>
      <c r="Q228" s="193" t="str">
        <f t="shared" si="31"/>
        <v/>
      </c>
      <c r="R228" s="194" t="str">
        <f t="shared" si="32"/>
        <v/>
      </c>
      <c r="S228" s="195" t="str">
        <f t="shared" si="34"/>
        <v/>
      </c>
      <c r="T228" s="196" t="str">
        <f t="shared" si="35"/>
        <v/>
      </c>
      <c r="U228" s="197" t="str">
        <f t="shared" si="36"/>
        <v/>
      </c>
      <c r="V228" s="198" t="str">
        <f t="shared" si="33"/>
        <v/>
      </c>
      <c r="W228" s="339" t="str">
        <f t="shared" si="37"/>
        <v/>
      </c>
      <c r="X228" s="341" t="str">
        <f t="shared" si="38"/>
        <v/>
      </c>
      <c r="Y228" s="277"/>
      <c r="AR228" t="str">
        <f t="shared" si="39"/>
        <v/>
      </c>
      <c r="AS228" t="str">
        <f t="shared" si="40"/>
        <v/>
      </c>
    </row>
    <row r="229" spans="1:45">
      <c r="A229" s="294"/>
      <c r="B229" s="295"/>
      <c r="C229" s="296"/>
      <c r="D229" s="296"/>
      <c r="E229" s="296"/>
      <c r="F229" s="296"/>
      <c r="G229" s="297"/>
      <c r="H229" s="303"/>
      <c r="I229" s="298"/>
      <c r="J229" s="298"/>
      <c r="K229" s="299"/>
      <c r="L229" s="304"/>
      <c r="M229" s="300"/>
      <c r="N229" s="301"/>
      <c r="P229" s="193" t="str">
        <f>IF(R229 = "", "", COUNT(R$4:$R229))</f>
        <v/>
      </c>
      <c r="Q229" s="193" t="str">
        <f t="shared" si="31"/>
        <v/>
      </c>
      <c r="R229" s="194" t="str">
        <f t="shared" si="32"/>
        <v/>
      </c>
      <c r="S229" s="195" t="str">
        <f t="shared" si="34"/>
        <v/>
      </c>
      <c r="T229" s="196" t="str">
        <f t="shared" si="35"/>
        <v/>
      </c>
      <c r="U229" s="197" t="str">
        <f t="shared" si="36"/>
        <v/>
      </c>
      <c r="V229" s="198" t="str">
        <f t="shared" si="33"/>
        <v/>
      </c>
      <c r="W229" s="339" t="str">
        <f t="shared" si="37"/>
        <v/>
      </c>
      <c r="X229" s="341" t="str">
        <f t="shared" si="38"/>
        <v/>
      </c>
      <c r="Y229" s="277"/>
      <c r="AR229" t="str">
        <f t="shared" si="39"/>
        <v/>
      </c>
      <c r="AS229" t="str">
        <f t="shared" si="40"/>
        <v/>
      </c>
    </row>
    <row r="230" spans="1:45">
      <c r="A230" s="294"/>
      <c r="B230" s="295"/>
      <c r="C230" s="296"/>
      <c r="D230" s="296"/>
      <c r="E230" s="296"/>
      <c r="F230" s="296"/>
      <c r="G230" s="297"/>
      <c r="H230" s="303"/>
      <c r="I230" s="298"/>
      <c r="J230" s="298"/>
      <c r="K230" s="299"/>
      <c r="L230" s="304"/>
      <c r="M230" s="300"/>
      <c r="N230" s="301"/>
      <c r="P230" s="193" t="str">
        <f>IF(R230 = "", "", COUNT(R$4:$R230))</f>
        <v/>
      </c>
      <c r="Q230" s="193" t="str">
        <f t="shared" si="31"/>
        <v/>
      </c>
      <c r="R230" s="194" t="str">
        <f t="shared" si="32"/>
        <v/>
      </c>
      <c r="S230" s="195" t="str">
        <f t="shared" si="34"/>
        <v/>
      </c>
      <c r="T230" s="196" t="str">
        <f t="shared" si="35"/>
        <v/>
      </c>
      <c r="U230" s="197" t="str">
        <f t="shared" si="36"/>
        <v/>
      </c>
      <c r="V230" s="198" t="str">
        <f t="shared" si="33"/>
        <v/>
      </c>
      <c r="W230" s="339" t="str">
        <f t="shared" si="37"/>
        <v/>
      </c>
      <c r="X230" s="341" t="str">
        <f t="shared" si="38"/>
        <v/>
      </c>
      <c r="Y230" s="277"/>
      <c r="AR230" t="str">
        <f t="shared" si="39"/>
        <v/>
      </c>
      <c r="AS230" t="str">
        <f t="shared" si="40"/>
        <v/>
      </c>
    </row>
    <row r="231" spans="1:45">
      <c r="A231" s="294"/>
      <c r="B231" s="295"/>
      <c r="C231" s="296"/>
      <c r="D231" s="296"/>
      <c r="E231" s="296"/>
      <c r="F231" s="296"/>
      <c r="G231" s="297"/>
      <c r="H231" s="303"/>
      <c r="I231" s="298"/>
      <c r="J231" s="298"/>
      <c r="K231" s="299"/>
      <c r="L231" s="304"/>
      <c r="M231" s="300"/>
      <c r="N231" s="301"/>
      <c r="P231" s="193" t="str">
        <f>IF(R231 = "", "", COUNT(R$4:$R231))</f>
        <v/>
      </c>
      <c r="Q231" s="193" t="str">
        <f t="shared" si="31"/>
        <v/>
      </c>
      <c r="R231" s="194" t="str">
        <f t="shared" si="32"/>
        <v/>
      </c>
      <c r="S231" s="195" t="str">
        <f t="shared" si="34"/>
        <v/>
      </c>
      <c r="T231" s="196" t="str">
        <f t="shared" si="35"/>
        <v/>
      </c>
      <c r="U231" s="197" t="str">
        <f t="shared" si="36"/>
        <v/>
      </c>
      <c r="V231" s="198" t="str">
        <f t="shared" si="33"/>
        <v/>
      </c>
      <c r="W231" s="339" t="str">
        <f t="shared" si="37"/>
        <v/>
      </c>
      <c r="X231" s="341" t="str">
        <f t="shared" si="38"/>
        <v/>
      </c>
      <c r="Y231" s="277"/>
      <c r="AR231" t="str">
        <f t="shared" si="39"/>
        <v/>
      </c>
      <c r="AS231" t="str">
        <f t="shared" si="40"/>
        <v/>
      </c>
    </row>
    <row r="232" spans="1:45">
      <c r="A232" s="294"/>
      <c r="B232" s="295"/>
      <c r="C232" s="296"/>
      <c r="D232" s="296"/>
      <c r="E232" s="296"/>
      <c r="F232" s="296"/>
      <c r="G232" s="297"/>
      <c r="H232" s="303"/>
      <c r="I232" s="298"/>
      <c r="J232" s="298"/>
      <c r="K232" s="299"/>
      <c r="L232" s="304"/>
      <c r="M232" s="300"/>
      <c r="N232" s="301"/>
      <c r="P232" s="193" t="str">
        <f>IF(R232 = "", "", COUNT(R$4:$R232))</f>
        <v/>
      </c>
      <c r="Q232" s="193" t="str">
        <f t="shared" si="31"/>
        <v/>
      </c>
      <c r="R232" s="194" t="str">
        <f t="shared" si="32"/>
        <v/>
      </c>
      <c r="S232" s="195" t="str">
        <f t="shared" si="34"/>
        <v/>
      </c>
      <c r="T232" s="196" t="str">
        <f t="shared" si="35"/>
        <v/>
      </c>
      <c r="U232" s="197" t="str">
        <f t="shared" si="36"/>
        <v/>
      </c>
      <c r="V232" s="198" t="str">
        <f t="shared" si="33"/>
        <v/>
      </c>
      <c r="W232" s="339" t="str">
        <f t="shared" si="37"/>
        <v/>
      </c>
      <c r="X232" s="341" t="str">
        <f t="shared" si="38"/>
        <v/>
      </c>
      <c r="Y232" s="277"/>
      <c r="AR232" t="str">
        <f t="shared" si="39"/>
        <v/>
      </c>
      <c r="AS232" t="str">
        <f t="shared" si="40"/>
        <v/>
      </c>
    </row>
    <row r="233" spans="1:45">
      <c r="A233" s="294"/>
      <c r="B233" s="295"/>
      <c r="C233" s="296"/>
      <c r="D233" s="296"/>
      <c r="E233" s="296"/>
      <c r="F233" s="296"/>
      <c r="G233" s="297"/>
      <c r="H233" s="303"/>
      <c r="I233" s="298"/>
      <c r="J233" s="298"/>
      <c r="K233" s="299"/>
      <c r="L233" s="304"/>
      <c r="M233" s="300"/>
      <c r="N233" s="301"/>
      <c r="P233" s="193" t="str">
        <f>IF(R233 = "", "", COUNT(R$4:$R233))</f>
        <v/>
      </c>
      <c r="Q233" s="193" t="str">
        <f t="shared" si="31"/>
        <v/>
      </c>
      <c r="R233" s="194" t="str">
        <f t="shared" si="32"/>
        <v/>
      </c>
      <c r="S233" s="195" t="str">
        <f t="shared" si="34"/>
        <v/>
      </c>
      <c r="T233" s="196" t="str">
        <f t="shared" si="35"/>
        <v/>
      </c>
      <c r="U233" s="197" t="str">
        <f t="shared" si="36"/>
        <v/>
      </c>
      <c r="V233" s="198" t="str">
        <f t="shared" si="33"/>
        <v/>
      </c>
      <c r="W233" s="339" t="str">
        <f t="shared" si="37"/>
        <v/>
      </c>
      <c r="X233" s="341" t="str">
        <f t="shared" si="38"/>
        <v/>
      </c>
      <c r="Y233" s="277"/>
      <c r="AR233" t="str">
        <f t="shared" si="39"/>
        <v/>
      </c>
      <c r="AS233" t="str">
        <f t="shared" si="40"/>
        <v/>
      </c>
    </row>
    <row r="234" spans="1:45">
      <c r="A234" s="294"/>
      <c r="B234" s="295"/>
      <c r="C234" s="296"/>
      <c r="D234" s="296"/>
      <c r="E234" s="296"/>
      <c r="F234" s="296"/>
      <c r="G234" s="297"/>
      <c r="H234" s="303"/>
      <c r="I234" s="298"/>
      <c r="J234" s="298"/>
      <c r="K234" s="299"/>
      <c r="L234" s="304"/>
      <c r="M234" s="300"/>
      <c r="N234" s="301"/>
      <c r="P234" s="193" t="str">
        <f>IF(R234 = "", "", COUNT(R$4:$R234))</f>
        <v/>
      </c>
      <c r="Q234" s="193" t="str">
        <f t="shared" si="31"/>
        <v/>
      </c>
      <c r="R234" s="194" t="str">
        <f t="shared" si="32"/>
        <v/>
      </c>
      <c r="S234" s="195" t="str">
        <f t="shared" si="34"/>
        <v/>
      </c>
      <c r="T234" s="196" t="str">
        <f t="shared" si="35"/>
        <v/>
      </c>
      <c r="U234" s="197" t="str">
        <f t="shared" si="36"/>
        <v/>
      </c>
      <c r="V234" s="198" t="str">
        <f t="shared" si="33"/>
        <v/>
      </c>
      <c r="W234" s="339" t="str">
        <f t="shared" si="37"/>
        <v/>
      </c>
      <c r="X234" s="341" t="str">
        <f t="shared" si="38"/>
        <v/>
      </c>
      <c r="Y234" s="277"/>
      <c r="AR234" t="str">
        <f t="shared" si="39"/>
        <v/>
      </c>
      <c r="AS234" t="str">
        <f t="shared" si="40"/>
        <v/>
      </c>
    </row>
    <row r="235" spans="1:45">
      <c r="A235" s="294"/>
      <c r="B235" s="295"/>
      <c r="C235" s="296"/>
      <c r="D235" s="296"/>
      <c r="E235" s="296"/>
      <c r="F235" s="296"/>
      <c r="G235" s="297"/>
      <c r="H235" s="303"/>
      <c r="I235" s="298"/>
      <c r="J235" s="298"/>
      <c r="K235" s="299"/>
      <c r="L235" s="304"/>
      <c r="M235" s="300"/>
      <c r="N235" s="301"/>
      <c r="P235" s="193" t="str">
        <f>IF(R235 = "", "", COUNT(R$4:$R235))</f>
        <v/>
      </c>
      <c r="Q235" s="193" t="str">
        <f t="shared" si="31"/>
        <v/>
      </c>
      <c r="R235" s="194" t="str">
        <f t="shared" si="32"/>
        <v/>
      </c>
      <c r="S235" s="195" t="str">
        <f t="shared" si="34"/>
        <v/>
      </c>
      <c r="T235" s="196" t="str">
        <f t="shared" si="35"/>
        <v/>
      </c>
      <c r="U235" s="197" t="str">
        <f t="shared" si="36"/>
        <v/>
      </c>
      <c r="V235" s="198" t="str">
        <f t="shared" si="33"/>
        <v/>
      </c>
      <c r="W235" s="339" t="str">
        <f t="shared" si="37"/>
        <v/>
      </c>
      <c r="X235" s="341" t="str">
        <f t="shared" si="38"/>
        <v/>
      </c>
      <c r="Y235" s="277"/>
      <c r="AR235" t="str">
        <f t="shared" si="39"/>
        <v/>
      </c>
      <c r="AS235" t="str">
        <f t="shared" si="40"/>
        <v/>
      </c>
    </row>
    <row r="236" spans="1:45">
      <c r="A236" s="294"/>
      <c r="B236" s="295"/>
      <c r="C236" s="296"/>
      <c r="D236" s="296"/>
      <c r="E236" s="296"/>
      <c r="F236" s="296"/>
      <c r="G236" s="297"/>
      <c r="H236" s="303"/>
      <c r="I236" s="298"/>
      <c r="J236" s="298"/>
      <c r="K236" s="299"/>
      <c r="L236" s="304"/>
      <c r="M236" s="300"/>
      <c r="N236" s="301"/>
      <c r="P236" s="193" t="str">
        <f>IF(R236 = "", "", COUNT(R$4:$R236))</f>
        <v/>
      </c>
      <c r="Q236" s="193" t="str">
        <f t="shared" si="31"/>
        <v/>
      </c>
      <c r="R236" s="194" t="str">
        <f t="shared" si="32"/>
        <v/>
      </c>
      <c r="S236" s="195" t="str">
        <f t="shared" si="34"/>
        <v/>
      </c>
      <c r="T236" s="196" t="str">
        <f t="shared" si="35"/>
        <v/>
      </c>
      <c r="U236" s="197" t="str">
        <f t="shared" si="36"/>
        <v/>
      </c>
      <c r="V236" s="198" t="str">
        <f t="shared" si="33"/>
        <v/>
      </c>
      <c r="W236" s="339" t="str">
        <f t="shared" si="37"/>
        <v/>
      </c>
      <c r="X236" s="341" t="str">
        <f t="shared" si="38"/>
        <v/>
      </c>
      <c r="Y236" s="277"/>
      <c r="AR236" t="str">
        <f t="shared" si="39"/>
        <v/>
      </c>
      <c r="AS236" t="str">
        <f t="shared" si="40"/>
        <v/>
      </c>
    </row>
    <row r="237" spans="1:45">
      <c r="A237" s="294"/>
      <c r="B237" s="295"/>
      <c r="C237" s="296"/>
      <c r="D237" s="296"/>
      <c r="E237" s="296"/>
      <c r="F237" s="296"/>
      <c r="G237" s="297"/>
      <c r="H237" s="303"/>
      <c r="I237" s="298"/>
      <c r="J237" s="298"/>
      <c r="K237" s="299"/>
      <c r="L237" s="304"/>
      <c r="M237" s="300"/>
      <c r="N237" s="301"/>
      <c r="P237" s="193" t="str">
        <f>IF(R237 = "", "", COUNT(R$4:$R237))</f>
        <v/>
      </c>
      <c r="Q237" s="193" t="str">
        <f t="shared" si="31"/>
        <v/>
      </c>
      <c r="R237" s="194" t="str">
        <f t="shared" si="32"/>
        <v/>
      </c>
      <c r="S237" s="195" t="str">
        <f t="shared" si="34"/>
        <v/>
      </c>
      <c r="T237" s="196" t="str">
        <f t="shared" si="35"/>
        <v/>
      </c>
      <c r="U237" s="197" t="str">
        <f t="shared" si="36"/>
        <v/>
      </c>
      <c r="V237" s="198" t="str">
        <f t="shared" si="33"/>
        <v/>
      </c>
      <c r="W237" s="339" t="str">
        <f t="shared" si="37"/>
        <v/>
      </c>
      <c r="X237" s="341" t="str">
        <f t="shared" si="38"/>
        <v/>
      </c>
      <c r="Y237" s="277"/>
      <c r="AR237" t="str">
        <f t="shared" si="39"/>
        <v/>
      </c>
      <c r="AS237" t="str">
        <f t="shared" si="40"/>
        <v/>
      </c>
    </row>
    <row r="238" spans="1:45">
      <c r="A238" s="294"/>
      <c r="B238" s="295"/>
      <c r="C238" s="296"/>
      <c r="D238" s="296"/>
      <c r="E238" s="296"/>
      <c r="F238" s="296"/>
      <c r="G238" s="297"/>
      <c r="H238" s="303"/>
      <c r="I238" s="298"/>
      <c r="J238" s="298"/>
      <c r="K238" s="299"/>
      <c r="L238" s="304"/>
      <c r="M238" s="300"/>
      <c r="N238" s="301"/>
      <c r="P238" s="193" t="str">
        <f>IF(R238 = "", "", COUNT(R$4:$R238))</f>
        <v/>
      </c>
      <c r="Q238" s="193" t="str">
        <f t="shared" si="31"/>
        <v/>
      </c>
      <c r="R238" s="194" t="str">
        <f t="shared" si="32"/>
        <v/>
      </c>
      <c r="S238" s="195" t="str">
        <f t="shared" si="34"/>
        <v/>
      </c>
      <c r="T238" s="196" t="str">
        <f t="shared" si="35"/>
        <v/>
      </c>
      <c r="U238" s="197" t="str">
        <f t="shared" si="36"/>
        <v/>
      </c>
      <c r="V238" s="198" t="str">
        <f t="shared" si="33"/>
        <v/>
      </c>
      <c r="W238" s="339" t="str">
        <f t="shared" si="37"/>
        <v/>
      </c>
      <c r="X238" s="341" t="str">
        <f t="shared" si="38"/>
        <v/>
      </c>
      <c r="Y238" s="277"/>
      <c r="AR238" t="str">
        <f t="shared" si="39"/>
        <v/>
      </c>
      <c r="AS238" t="str">
        <f t="shared" si="40"/>
        <v/>
      </c>
    </row>
    <row r="239" spans="1:45">
      <c r="A239" s="294"/>
      <c r="B239" s="295"/>
      <c r="C239" s="296"/>
      <c r="D239" s="296"/>
      <c r="E239" s="296"/>
      <c r="F239" s="296"/>
      <c r="G239" s="297"/>
      <c r="H239" s="303"/>
      <c r="I239" s="298"/>
      <c r="J239" s="298"/>
      <c r="K239" s="299"/>
      <c r="L239" s="304"/>
      <c r="M239" s="300"/>
      <c r="N239" s="301"/>
      <c r="P239" s="193" t="str">
        <f>IF(R239 = "", "", COUNT(R$4:$R239))</f>
        <v/>
      </c>
      <c r="Q239" s="193" t="str">
        <f t="shared" si="31"/>
        <v/>
      </c>
      <c r="R239" s="194" t="str">
        <f t="shared" si="32"/>
        <v/>
      </c>
      <c r="S239" s="195" t="str">
        <f t="shared" si="34"/>
        <v/>
      </c>
      <c r="T239" s="196" t="str">
        <f t="shared" si="35"/>
        <v/>
      </c>
      <c r="U239" s="197" t="str">
        <f t="shared" si="36"/>
        <v/>
      </c>
      <c r="V239" s="198" t="str">
        <f t="shared" si="33"/>
        <v/>
      </c>
      <c r="W239" s="339" t="str">
        <f t="shared" si="37"/>
        <v/>
      </c>
      <c r="X239" s="341" t="str">
        <f t="shared" si="38"/>
        <v/>
      </c>
      <c r="Y239" s="277"/>
      <c r="AR239" t="str">
        <f t="shared" si="39"/>
        <v/>
      </c>
      <c r="AS239" t="str">
        <f t="shared" si="40"/>
        <v/>
      </c>
    </row>
    <row r="240" spans="1:45">
      <c r="A240" s="294"/>
      <c r="B240" s="295"/>
      <c r="C240" s="296"/>
      <c r="D240" s="296"/>
      <c r="E240" s="296"/>
      <c r="F240" s="296"/>
      <c r="G240" s="297"/>
      <c r="H240" s="303"/>
      <c r="I240" s="298"/>
      <c r="J240" s="298"/>
      <c r="K240" s="299"/>
      <c r="L240" s="304"/>
      <c r="M240" s="300"/>
      <c r="N240" s="301"/>
      <c r="P240" s="193" t="str">
        <f>IF(R240 = "", "", COUNT(R$4:$R240))</f>
        <v/>
      </c>
      <c r="Q240" s="193" t="str">
        <f t="shared" si="31"/>
        <v/>
      </c>
      <c r="R240" s="194" t="str">
        <f t="shared" si="32"/>
        <v/>
      </c>
      <c r="S240" s="195" t="str">
        <f t="shared" si="34"/>
        <v/>
      </c>
      <c r="T240" s="196" t="str">
        <f t="shared" si="35"/>
        <v/>
      </c>
      <c r="U240" s="197" t="str">
        <f t="shared" si="36"/>
        <v/>
      </c>
      <c r="V240" s="198" t="str">
        <f t="shared" si="33"/>
        <v/>
      </c>
      <c r="W240" s="339" t="str">
        <f t="shared" si="37"/>
        <v/>
      </c>
      <c r="X240" s="341" t="str">
        <f t="shared" si="38"/>
        <v/>
      </c>
      <c r="Y240" s="277"/>
      <c r="AR240" t="str">
        <f t="shared" si="39"/>
        <v/>
      </c>
      <c r="AS240" t="str">
        <f t="shared" si="40"/>
        <v/>
      </c>
    </row>
    <row r="241" spans="1:45">
      <c r="A241" s="294"/>
      <c r="B241" s="295"/>
      <c r="C241" s="296"/>
      <c r="D241" s="296"/>
      <c r="E241" s="296"/>
      <c r="F241" s="296"/>
      <c r="G241" s="297"/>
      <c r="H241" s="303"/>
      <c r="I241" s="298"/>
      <c r="J241" s="298"/>
      <c r="K241" s="299"/>
      <c r="L241" s="304"/>
      <c r="M241" s="300"/>
      <c r="N241" s="301"/>
      <c r="P241" s="193" t="str">
        <f>IF(R241 = "", "", COUNT(R$4:$R241))</f>
        <v/>
      </c>
      <c r="Q241" s="193" t="str">
        <f t="shared" si="31"/>
        <v/>
      </c>
      <c r="R241" s="194" t="str">
        <f t="shared" si="32"/>
        <v/>
      </c>
      <c r="S241" s="195" t="str">
        <f t="shared" si="34"/>
        <v/>
      </c>
      <c r="T241" s="196" t="str">
        <f t="shared" si="35"/>
        <v/>
      </c>
      <c r="U241" s="197" t="str">
        <f t="shared" si="36"/>
        <v/>
      </c>
      <c r="V241" s="198" t="str">
        <f t="shared" si="33"/>
        <v/>
      </c>
      <c r="W241" s="339" t="str">
        <f t="shared" si="37"/>
        <v/>
      </c>
      <c r="X241" s="341" t="str">
        <f t="shared" si="38"/>
        <v/>
      </c>
      <c r="Y241" s="277"/>
      <c r="AR241" t="str">
        <f t="shared" si="39"/>
        <v/>
      </c>
      <c r="AS241" t="str">
        <f t="shared" si="40"/>
        <v/>
      </c>
    </row>
    <row r="242" spans="1:45">
      <c r="A242" s="294"/>
      <c r="B242" s="295"/>
      <c r="C242" s="296"/>
      <c r="D242" s="296"/>
      <c r="E242" s="296"/>
      <c r="F242" s="296"/>
      <c r="G242" s="297"/>
      <c r="H242" s="303"/>
      <c r="I242" s="298"/>
      <c r="J242" s="298"/>
      <c r="K242" s="299"/>
      <c r="L242" s="304"/>
      <c r="M242" s="300"/>
      <c r="N242" s="301"/>
      <c r="P242" s="193" t="str">
        <f>IF(R242 = "", "", COUNT(R$4:$R242))</f>
        <v/>
      </c>
      <c r="Q242" s="193" t="str">
        <f t="shared" si="31"/>
        <v/>
      </c>
      <c r="R242" s="194" t="str">
        <f t="shared" si="32"/>
        <v/>
      </c>
      <c r="S242" s="195" t="str">
        <f t="shared" si="34"/>
        <v/>
      </c>
      <c r="T242" s="196" t="str">
        <f t="shared" si="35"/>
        <v/>
      </c>
      <c r="U242" s="197" t="str">
        <f t="shared" si="36"/>
        <v/>
      </c>
      <c r="V242" s="198" t="str">
        <f t="shared" si="33"/>
        <v/>
      </c>
      <c r="W242" s="339" t="str">
        <f t="shared" si="37"/>
        <v/>
      </c>
      <c r="X242" s="341" t="str">
        <f t="shared" si="38"/>
        <v/>
      </c>
      <c r="Y242" s="277"/>
      <c r="AR242" t="str">
        <f t="shared" si="39"/>
        <v/>
      </c>
      <c r="AS242" t="str">
        <f t="shared" si="40"/>
        <v/>
      </c>
    </row>
    <row r="243" spans="1:45">
      <c r="A243" s="294"/>
      <c r="B243" s="295"/>
      <c r="C243" s="296"/>
      <c r="D243" s="296"/>
      <c r="E243" s="296"/>
      <c r="F243" s="296"/>
      <c r="G243" s="297"/>
      <c r="H243" s="303"/>
      <c r="I243" s="298"/>
      <c r="J243" s="298"/>
      <c r="K243" s="299"/>
      <c r="L243" s="304"/>
      <c r="M243" s="300"/>
      <c r="N243" s="301"/>
      <c r="P243" s="193" t="str">
        <f>IF(R243 = "", "", COUNT(R$4:$R243))</f>
        <v/>
      </c>
      <c r="Q243" s="193" t="str">
        <f t="shared" si="31"/>
        <v/>
      </c>
      <c r="R243" s="194" t="str">
        <f t="shared" si="32"/>
        <v/>
      </c>
      <c r="S243" s="195" t="str">
        <f t="shared" si="34"/>
        <v/>
      </c>
      <c r="T243" s="196" t="str">
        <f t="shared" si="35"/>
        <v/>
      </c>
      <c r="U243" s="197" t="str">
        <f t="shared" si="36"/>
        <v/>
      </c>
      <c r="V243" s="198" t="str">
        <f t="shared" si="33"/>
        <v/>
      </c>
      <c r="W243" s="339" t="str">
        <f t="shared" si="37"/>
        <v/>
      </c>
      <c r="X243" s="341" t="str">
        <f t="shared" si="38"/>
        <v/>
      </c>
      <c r="Y243" s="277"/>
      <c r="AR243" t="str">
        <f t="shared" si="39"/>
        <v/>
      </c>
      <c r="AS243" t="str">
        <f t="shared" si="40"/>
        <v/>
      </c>
    </row>
    <row r="244" spans="1:45">
      <c r="A244" s="294"/>
      <c r="B244" s="295"/>
      <c r="C244" s="296"/>
      <c r="D244" s="296"/>
      <c r="E244" s="296"/>
      <c r="F244" s="296"/>
      <c r="G244" s="297"/>
      <c r="H244" s="303"/>
      <c r="I244" s="298"/>
      <c r="J244" s="298"/>
      <c r="K244" s="299"/>
      <c r="L244" s="304"/>
      <c r="M244" s="300"/>
      <c r="N244" s="301"/>
      <c r="P244" s="193" t="str">
        <f>IF(R244 = "", "", COUNT(R$4:$R244))</f>
        <v/>
      </c>
      <c r="Q244" s="193" t="str">
        <f t="shared" si="31"/>
        <v/>
      </c>
      <c r="R244" s="194" t="str">
        <f t="shared" si="32"/>
        <v/>
      </c>
      <c r="S244" s="195" t="str">
        <f t="shared" si="34"/>
        <v/>
      </c>
      <c r="T244" s="196" t="str">
        <f t="shared" si="35"/>
        <v/>
      </c>
      <c r="U244" s="197" t="str">
        <f t="shared" si="36"/>
        <v/>
      </c>
      <c r="V244" s="198" t="str">
        <f t="shared" si="33"/>
        <v/>
      </c>
      <c r="W244" s="339" t="str">
        <f t="shared" si="37"/>
        <v/>
      </c>
      <c r="X244" s="341" t="str">
        <f t="shared" si="38"/>
        <v/>
      </c>
      <c r="Y244" s="277"/>
      <c r="AR244" t="str">
        <f t="shared" si="39"/>
        <v/>
      </c>
      <c r="AS244" t="str">
        <f t="shared" si="40"/>
        <v/>
      </c>
    </row>
    <row r="245" spans="1:45">
      <c r="A245" s="294"/>
      <c r="B245" s="295"/>
      <c r="C245" s="296"/>
      <c r="D245" s="296"/>
      <c r="E245" s="296"/>
      <c r="F245" s="296"/>
      <c r="G245" s="297"/>
      <c r="H245" s="303"/>
      <c r="I245" s="298"/>
      <c r="J245" s="298"/>
      <c r="K245" s="299"/>
      <c r="L245" s="304"/>
      <c r="M245" s="300"/>
      <c r="N245" s="301"/>
      <c r="P245" s="193" t="str">
        <f>IF(R245 = "", "", COUNT(R$4:$R245))</f>
        <v/>
      </c>
      <c r="Q245" s="193" t="str">
        <f t="shared" si="31"/>
        <v/>
      </c>
      <c r="R245" s="194" t="str">
        <f t="shared" si="32"/>
        <v/>
      </c>
      <c r="S245" s="195" t="str">
        <f t="shared" si="34"/>
        <v/>
      </c>
      <c r="T245" s="196" t="str">
        <f t="shared" si="35"/>
        <v/>
      </c>
      <c r="U245" s="197" t="str">
        <f t="shared" si="36"/>
        <v/>
      </c>
      <c r="V245" s="198" t="str">
        <f t="shared" si="33"/>
        <v/>
      </c>
      <c r="W245" s="339" t="str">
        <f t="shared" si="37"/>
        <v/>
      </c>
      <c r="X245" s="341" t="str">
        <f t="shared" si="38"/>
        <v/>
      </c>
      <c r="Y245" s="277"/>
      <c r="AR245" t="str">
        <f t="shared" si="39"/>
        <v/>
      </c>
      <c r="AS245" t="str">
        <f t="shared" si="40"/>
        <v/>
      </c>
    </row>
    <row r="246" spans="1:45">
      <c r="A246" s="294"/>
      <c r="B246" s="295"/>
      <c r="C246" s="296"/>
      <c r="D246" s="296"/>
      <c r="E246" s="296"/>
      <c r="F246" s="296"/>
      <c r="G246" s="297"/>
      <c r="H246" s="303"/>
      <c r="I246" s="298"/>
      <c r="J246" s="298"/>
      <c r="K246" s="299"/>
      <c r="L246" s="304"/>
      <c r="M246" s="300"/>
      <c r="N246" s="301"/>
      <c r="P246" s="193" t="str">
        <f>IF(R246 = "", "", COUNT(R$4:$R246))</f>
        <v/>
      </c>
      <c r="Q246" s="193" t="str">
        <f t="shared" si="31"/>
        <v/>
      </c>
      <c r="R246" s="194" t="str">
        <f t="shared" si="32"/>
        <v/>
      </c>
      <c r="S246" s="195" t="str">
        <f t="shared" si="34"/>
        <v/>
      </c>
      <c r="T246" s="196" t="str">
        <f t="shared" si="35"/>
        <v/>
      </c>
      <c r="U246" s="197" t="str">
        <f t="shared" si="36"/>
        <v/>
      </c>
      <c r="V246" s="198" t="str">
        <f t="shared" si="33"/>
        <v/>
      </c>
      <c r="W246" s="339" t="str">
        <f t="shared" si="37"/>
        <v/>
      </c>
      <c r="X246" s="341" t="str">
        <f t="shared" si="38"/>
        <v/>
      </c>
      <c r="Y246" s="277"/>
      <c r="AR246" t="str">
        <f t="shared" si="39"/>
        <v/>
      </c>
      <c r="AS246" t="str">
        <f t="shared" si="40"/>
        <v/>
      </c>
    </row>
    <row r="247" spans="1:45">
      <c r="A247" s="294"/>
      <c r="B247" s="295"/>
      <c r="C247" s="296"/>
      <c r="D247" s="296"/>
      <c r="E247" s="296"/>
      <c r="F247" s="296"/>
      <c r="G247" s="297"/>
      <c r="H247" s="303"/>
      <c r="I247" s="298"/>
      <c r="J247" s="298"/>
      <c r="K247" s="299"/>
      <c r="L247" s="304"/>
      <c r="M247" s="300"/>
      <c r="N247" s="301"/>
      <c r="P247" s="193" t="str">
        <f>IF(R247 = "", "", COUNT(R$4:$R247))</f>
        <v/>
      </c>
      <c r="Q247" s="193" t="str">
        <f t="shared" si="31"/>
        <v/>
      </c>
      <c r="R247" s="194" t="str">
        <f t="shared" si="32"/>
        <v/>
      </c>
      <c r="S247" s="195" t="str">
        <f t="shared" si="34"/>
        <v/>
      </c>
      <c r="T247" s="196" t="str">
        <f t="shared" si="35"/>
        <v/>
      </c>
      <c r="U247" s="197" t="str">
        <f t="shared" si="36"/>
        <v/>
      </c>
      <c r="V247" s="198" t="str">
        <f t="shared" si="33"/>
        <v/>
      </c>
      <c r="W247" s="339" t="str">
        <f t="shared" si="37"/>
        <v/>
      </c>
      <c r="X247" s="341" t="str">
        <f t="shared" si="38"/>
        <v/>
      </c>
      <c r="Y247" s="277"/>
      <c r="AR247" t="str">
        <f t="shared" si="39"/>
        <v/>
      </c>
      <c r="AS247" t="str">
        <f t="shared" si="40"/>
        <v/>
      </c>
    </row>
    <row r="248" spans="1:45">
      <c r="A248" s="294"/>
      <c r="B248" s="295"/>
      <c r="C248" s="296"/>
      <c r="D248" s="296"/>
      <c r="E248" s="296"/>
      <c r="F248" s="296"/>
      <c r="G248" s="297"/>
      <c r="H248" s="303"/>
      <c r="I248" s="298"/>
      <c r="J248" s="298"/>
      <c r="K248" s="299"/>
      <c r="L248" s="304"/>
      <c r="M248" s="300"/>
      <c r="N248" s="301"/>
      <c r="P248" s="193" t="str">
        <f>IF(R248 = "", "", COUNT(R$4:$R248))</f>
        <v/>
      </c>
      <c r="Q248" s="193" t="str">
        <f t="shared" si="31"/>
        <v/>
      </c>
      <c r="R248" s="194" t="str">
        <f t="shared" si="32"/>
        <v/>
      </c>
      <c r="S248" s="195" t="str">
        <f t="shared" si="34"/>
        <v/>
      </c>
      <c r="T248" s="196" t="str">
        <f t="shared" si="35"/>
        <v/>
      </c>
      <c r="U248" s="197" t="str">
        <f t="shared" si="36"/>
        <v/>
      </c>
      <c r="V248" s="198" t="str">
        <f t="shared" si="33"/>
        <v/>
      </c>
      <c r="W248" s="339" t="str">
        <f t="shared" si="37"/>
        <v/>
      </c>
      <c r="X248" s="341" t="str">
        <f t="shared" si="38"/>
        <v/>
      </c>
      <c r="Y248" s="277"/>
      <c r="AR248" t="str">
        <f t="shared" si="39"/>
        <v/>
      </c>
      <c r="AS248" t="str">
        <f t="shared" si="40"/>
        <v/>
      </c>
    </row>
    <row r="249" spans="1:45">
      <c r="A249" s="294"/>
      <c r="B249" s="295"/>
      <c r="C249" s="296"/>
      <c r="D249" s="296"/>
      <c r="E249" s="296"/>
      <c r="F249" s="296"/>
      <c r="G249" s="297"/>
      <c r="H249" s="303"/>
      <c r="I249" s="298"/>
      <c r="J249" s="298"/>
      <c r="K249" s="299"/>
      <c r="L249" s="304"/>
      <c r="M249" s="300"/>
      <c r="N249" s="301"/>
      <c r="P249" s="193" t="str">
        <f>IF(R249 = "", "", COUNT(R$4:$R249))</f>
        <v/>
      </c>
      <c r="Q249" s="193" t="str">
        <f t="shared" si="31"/>
        <v/>
      </c>
      <c r="R249" s="194" t="str">
        <f t="shared" si="32"/>
        <v/>
      </c>
      <c r="S249" s="195" t="str">
        <f t="shared" si="34"/>
        <v/>
      </c>
      <c r="T249" s="196" t="str">
        <f t="shared" si="35"/>
        <v/>
      </c>
      <c r="U249" s="197" t="str">
        <f t="shared" si="36"/>
        <v/>
      </c>
      <c r="V249" s="198" t="str">
        <f t="shared" si="33"/>
        <v/>
      </c>
      <c r="W249" s="339" t="str">
        <f t="shared" si="37"/>
        <v/>
      </c>
      <c r="X249" s="341" t="str">
        <f t="shared" si="38"/>
        <v/>
      </c>
      <c r="Y249" s="277"/>
      <c r="AR249" t="str">
        <f t="shared" si="39"/>
        <v/>
      </c>
      <c r="AS249" t="str">
        <f t="shared" si="40"/>
        <v/>
      </c>
    </row>
    <row r="250" spans="1:45">
      <c r="A250" s="294"/>
      <c r="B250" s="295"/>
      <c r="C250" s="296"/>
      <c r="D250" s="296"/>
      <c r="E250" s="296"/>
      <c r="F250" s="296"/>
      <c r="G250" s="297"/>
      <c r="H250" s="303"/>
      <c r="I250" s="298"/>
      <c r="J250" s="298"/>
      <c r="K250" s="299"/>
      <c r="L250" s="304"/>
      <c r="M250" s="300"/>
      <c r="N250" s="301"/>
      <c r="P250" s="193" t="str">
        <f>IF(R250 = "", "", COUNT(R$4:$R250))</f>
        <v/>
      </c>
      <c r="Q250" s="193" t="str">
        <f t="shared" si="31"/>
        <v/>
      </c>
      <c r="R250" s="194" t="str">
        <f t="shared" si="32"/>
        <v/>
      </c>
      <c r="S250" s="195" t="str">
        <f t="shared" si="34"/>
        <v/>
      </c>
      <c r="T250" s="196" t="str">
        <f t="shared" si="35"/>
        <v/>
      </c>
      <c r="U250" s="197" t="str">
        <f t="shared" si="36"/>
        <v/>
      </c>
      <c r="V250" s="198" t="str">
        <f t="shared" si="33"/>
        <v/>
      </c>
      <c r="W250" s="339" t="str">
        <f t="shared" si="37"/>
        <v/>
      </c>
      <c r="X250" s="341" t="str">
        <f t="shared" si="38"/>
        <v/>
      </c>
      <c r="Y250" s="277"/>
      <c r="AR250" t="str">
        <f t="shared" si="39"/>
        <v/>
      </c>
      <c r="AS250" t="str">
        <f t="shared" si="40"/>
        <v/>
      </c>
    </row>
    <row r="251" spans="1:45">
      <c r="A251" s="294"/>
      <c r="B251" s="295"/>
      <c r="C251" s="296"/>
      <c r="D251" s="296"/>
      <c r="E251" s="296"/>
      <c r="F251" s="296"/>
      <c r="G251" s="297"/>
      <c r="H251" s="303"/>
      <c r="I251" s="298"/>
      <c r="J251" s="298"/>
      <c r="K251" s="299"/>
      <c r="L251" s="304"/>
      <c r="M251" s="300"/>
      <c r="N251" s="301"/>
      <c r="P251" s="193" t="str">
        <f>IF(R251 = "", "", COUNT(R$4:$R251))</f>
        <v/>
      </c>
      <c r="Q251" s="193" t="str">
        <f t="shared" si="31"/>
        <v/>
      </c>
      <c r="R251" s="194" t="str">
        <f t="shared" si="32"/>
        <v/>
      </c>
      <c r="S251" s="195" t="str">
        <f t="shared" si="34"/>
        <v/>
      </c>
      <c r="T251" s="196" t="str">
        <f t="shared" si="35"/>
        <v/>
      </c>
      <c r="U251" s="197" t="str">
        <f t="shared" si="36"/>
        <v/>
      </c>
      <c r="V251" s="198" t="str">
        <f t="shared" si="33"/>
        <v/>
      </c>
      <c r="W251" s="339" t="str">
        <f t="shared" si="37"/>
        <v/>
      </c>
      <c r="X251" s="341" t="str">
        <f t="shared" si="38"/>
        <v/>
      </c>
      <c r="Y251" s="277"/>
      <c r="AR251" t="str">
        <f t="shared" si="39"/>
        <v/>
      </c>
      <c r="AS251" t="str">
        <f t="shared" si="40"/>
        <v/>
      </c>
    </row>
    <row r="252" spans="1:45">
      <c r="A252" s="294"/>
      <c r="B252" s="295"/>
      <c r="C252" s="296"/>
      <c r="D252" s="296"/>
      <c r="E252" s="296"/>
      <c r="F252" s="296"/>
      <c r="G252" s="297"/>
      <c r="H252" s="303"/>
      <c r="I252" s="298"/>
      <c r="J252" s="298"/>
      <c r="K252" s="299"/>
      <c r="L252" s="304"/>
      <c r="M252" s="300"/>
      <c r="N252" s="301"/>
      <c r="P252" s="193" t="str">
        <f>IF(R252 = "", "", COUNT(R$4:$R252))</f>
        <v/>
      </c>
      <c r="Q252" s="193" t="str">
        <f t="shared" si="31"/>
        <v/>
      </c>
      <c r="R252" s="194" t="str">
        <f t="shared" si="32"/>
        <v/>
      </c>
      <c r="S252" s="195" t="str">
        <f t="shared" si="34"/>
        <v/>
      </c>
      <c r="T252" s="196" t="str">
        <f t="shared" si="35"/>
        <v/>
      </c>
      <c r="U252" s="197" t="str">
        <f t="shared" si="36"/>
        <v/>
      </c>
      <c r="V252" s="198" t="str">
        <f t="shared" si="33"/>
        <v/>
      </c>
      <c r="W252" s="339" t="str">
        <f t="shared" si="37"/>
        <v/>
      </c>
      <c r="X252" s="341" t="str">
        <f t="shared" si="38"/>
        <v/>
      </c>
      <c r="Y252" s="277"/>
      <c r="AR252" t="str">
        <f t="shared" si="39"/>
        <v/>
      </c>
      <c r="AS252" t="str">
        <f t="shared" si="40"/>
        <v/>
      </c>
    </row>
    <row r="253" spans="1:45">
      <c r="A253" s="294"/>
      <c r="B253" s="295"/>
      <c r="C253" s="296"/>
      <c r="D253" s="296"/>
      <c r="E253" s="296"/>
      <c r="F253" s="296"/>
      <c r="G253" s="297"/>
      <c r="H253" s="303"/>
      <c r="I253" s="298"/>
      <c r="J253" s="298"/>
      <c r="K253" s="299"/>
      <c r="L253" s="304"/>
      <c r="M253" s="300"/>
      <c r="N253" s="301"/>
      <c r="P253" s="193" t="str">
        <f>IF(R253 = "", "", COUNT(R$4:$R253))</f>
        <v/>
      </c>
      <c r="Q253" s="193" t="str">
        <f t="shared" si="31"/>
        <v/>
      </c>
      <c r="R253" s="194" t="str">
        <f t="shared" si="32"/>
        <v/>
      </c>
      <c r="S253" s="195" t="str">
        <f t="shared" si="34"/>
        <v/>
      </c>
      <c r="T253" s="196" t="str">
        <f t="shared" si="35"/>
        <v/>
      </c>
      <c r="U253" s="197" t="str">
        <f t="shared" si="36"/>
        <v/>
      </c>
      <c r="V253" s="198" t="str">
        <f t="shared" si="33"/>
        <v/>
      </c>
      <c r="W253" s="339" t="str">
        <f t="shared" si="37"/>
        <v/>
      </c>
      <c r="X253" s="341" t="str">
        <f t="shared" si="38"/>
        <v/>
      </c>
      <c r="Y253" s="277"/>
      <c r="AR253" t="str">
        <f t="shared" si="39"/>
        <v/>
      </c>
      <c r="AS253" t="str">
        <f t="shared" si="40"/>
        <v/>
      </c>
    </row>
    <row r="254" spans="1:45">
      <c r="A254" s="294"/>
      <c r="B254" s="295"/>
      <c r="C254" s="296"/>
      <c r="D254" s="296"/>
      <c r="E254" s="296"/>
      <c r="F254" s="296"/>
      <c r="G254" s="297"/>
      <c r="H254" s="303"/>
      <c r="I254" s="298"/>
      <c r="J254" s="298"/>
      <c r="K254" s="299"/>
      <c r="L254" s="304"/>
      <c r="M254" s="300"/>
      <c r="N254" s="301"/>
      <c r="P254" s="193" t="str">
        <f>IF(R254 = "", "", COUNT(R$4:$R254))</f>
        <v/>
      </c>
      <c r="Q254" s="193" t="str">
        <f t="shared" si="31"/>
        <v/>
      </c>
      <c r="R254" s="194" t="str">
        <f t="shared" si="32"/>
        <v/>
      </c>
      <c r="S254" s="195" t="str">
        <f t="shared" si="34"/>
        <v/>
      </c>
      <c r="T254" s="196" t="str">
        <f t="shared" si="35"/>
        <v/>
      </c>
      <c r="U254" s="197" t="str">
        <f t="shared" si="36"/>
        <v/>
      </c>
      <c r="V254" s="198" t="str">
        <f t="shared" si="33"/>
        <v/>
      </c>
      <c r="W254" s="339" t="str">
        <f t="shared" si="37"/>
        <v/>
      </c>
      <c r="X254" s="341" t="str">
        <f t="shared" si="38"/>
        <v/>
      </c>
      <c r="Y254" s="277"/>
      <c r="AR254" t="str">
        <f t="shared" si="39"/>
        <v/>
      </c>
      <c r="AS254" t="str">
        <f t="shared" si="40"/>
        <v/>
      </c>
    </row>
    <row r="255" spans="1:45">
      <c r="A255" s="294"/>
      <c r="B255" s="295"/>
      <c r="C255" s="296"/>
      <c r="D255" s="296"/>
      <c r="E255" s="296"/>
      <c r="F255" s="296"/>
      <c r="G255" s="297"/>
      <c r="H255" s="303"/>
      <c r="I255" s="298"/>
      <c r="J255" s="298"/>
      <c r="K255" s="299"/>
      <c r="L255" s="304"/>
      <c r="M255" s="300"/>
      <c r="N255" s="301"/>
      <c r="P255" s="193" t="str">
        <f>IF(R255 = "", "", COUNT(R$4:$R255))</f>
        <v/>
      </c>
      <c r="Q255" s="193" t="str">
        <f t="shared" si="31"/>
        <v/>
      </c>
      <c r="R255" s="194" t="str">
        <f t="shared" si="32"/>
        <v/>
      </c>
      <c r="S255" s="195" t="str">
        <f t="shared" si="34"/>
        <v/>
      </c>
      <c r="T255" s="196" t="str">
        <f t="shared" si="35"/>
        <v/>
      </c>
      <c r="U255" s="197" t="str">
        <f t="shared" si="36"/>
        <v/>
      </c>
      <c r="V255" s="198" t="str">
        <f t="shared" si="33"/>
        <v/>
      </c>
      <c r="W255" s="339" t="str">
        <f t="shared" si="37"/>
        <v/>
      </c>
      <c r="X255" s="341" t="str">
        <f t="shared" si="38"/>
        <v/>
      </c>
      <c r="Y255" s="277"/>
      <c r="AR255" t="str">
        <f t="shared" si="39"/>
        <v/>
      </c>
      <c r="AS255" t="str">
        <f t="shared" si="40"/>
        <v/>
      </c>
    </row>
    <row r="256" spans="1:45">
      <c r="A256" s="294"/>
      <c r="B256" s="295"/>
      <c r="C256" s="296"/>
      <c r="D256" s="296"/>
      <c r="E256" s="296"/>
      <c r="F256" s="296"/>
      <c r="G256" s="297"/>
      <c r="H256" s="303"/>
      <c r="I256" s="298"/>
      <c r="J256" s="298"/>
      <c r="K256" s="299"/>
      <c r="L256" s="304"/>
      <c r="M256" s="300"/>
      <c r="N256" s="301"/>
      <c r="P256" s="193" t="str">
        <f>IF(R256 = "", "", COUNT(R$4:$R256))</f>
        <v/>
      </c>
      <c r="Q256" s="193" t="str">
        <f t="shared" si="31"/>
        <v/>
      </c>
      <c r="R256" s="194" t="str">
        <f t="shared" si="32"/>
        <v/>
      </c>
      <c r="S256" s="195" t="str">
        <f t="shared" si="34"/>
        <v/>
      </c>
      <c r="T256" s="196" t="str">
        <f t="shared" si="35"/>
        <v/>
      </c>
      <c r="U256" s="197" t="str">
        <f t="shared" si="36"/>
        <v/>
      </c>
      <c r="V256" s="198" t="str">
        <f t="shared" si="33"/>
        <v/>
      </c>
      <c r="W256" s="339" t="str">
        <f t="shared" si="37"/>
        <v/>
      </c>
      <c r="X256" s="341" t="str">
        <f t="shared" si="38"/>
        <v/>
      </c>
      <c r="Y256" s="277"/>
      <c r="AR256" t="str">
        <f t="shared" si="39"/>
        <v/>
      </c>
      <c r="AS256" t="str">
        <f t="shared" si="40"/>
        <v/>
      </c>
    </row>
    <row r="257" spans="1:45">
      <c r="A257" s="294"/>
      <c r="B257" s="295"/>
      <c r="C257" s="296"/>
      <c r="D257" s="296"/>
      <c r="E257" s="296"/>
      <c r="F257" s="296"/>
      <c r="G257" s="297"/>
      <c r="H257" s="303"/>
      <c r="I257" s="298"/>
      <c r="J257" s="298"/>
      <c r="K257" s="299"/>
      <c r="L257" s="304"/>
      <c r="M257" s="300"/>
      <c r="N257" s="301"/>
      <c r="P257" s="193" t="str">
        <f>IF(R257 = "", "", COUNT(R$4:$R257))</f>
        <v/>
      </c>
      <c r="Q257" s="193" t="str">
        <f t="shared" si="31"/>
        <v/>
      </c>
      <c r="R257" s="194" t="str">
        <f t="shared" si="32"/>
        <v/>
      </c>
      <c r="S257" s="195" t="str">
        <f t="shared" si="34"/>
        <v/>
      </c>
      <c r="T257" s="196" t="str">
        <f t="shared" si="35"/>
        <v/>
      </c>
      <c r="U257" s="197" t="str">
        <f t="shared" si="36"/>
        <v/>
      </c>
      <c r="V257" s="198" t="str">
        <f t="shared" si="33"/>
        <v/>
      </c>
      <c r="W257" s="339" t="str">
        <f t="shared" si="37"/>
        <v/>
      </c>
      <c r="X257" s="341" t="str">
        <f t="shared" si="38"/>
        <v/>
      </c>
      <c r="Y257" s="277"/>
      <c r="AR257" t="str">
        <f t="shared" si="39"/>
        <v/>
      </c>
      <c r="AS257" t="str">
        <f t="shared" si="40"/>
        <v/>
      </c>
    </row>
    <row r="258" spans="1:45">
      <c r="A258" s="294"/>
      <c r="B258" s="295"/>
      <c r="C258" s="296"/>
      <c r="D258" s="296"/>
      <c r="E258" s="296"/>
      <c r="F258" s="296"/>
      <c r="G258" s="297"/>
      <c r="H258" s="303"/>
      <c r="I258" s="298"/>
      <c r="J258" s="298"/>
      <c r="K258" s="299"/>
      <c r="L258" s="304"/>
      <c r="M258" s="300"/>
      <c r="N258" s="301"/>
      <c r="P258" s="193" t="str">
        <f>IF(R258 = "", "", COUNT(R$4:$R258))</f>
        <v/>
      </c>
      <c r="Q258" s="193" t="str">
        <f t="shared" si="31"/>
        <v/>
      </c>
      <c r="R258" s="194" t="str">
        <f t="shared" si="32"/>
        <v/>
      </c>
      <c r="S258" s="195" t="str">
        <f t="shared" si="34"/>
        <v/>
      </c>
      <c r="T258" s="196" t="str">
        <f t="shared" si="35"/>
        <v/>
      </c>
      <c r="U258" s="197" t="str">
        <f t="shared" si="36"/>
        <v/>
      </c>
      <c r="V258" s="198" t="str">
        <f t="shared" si="33"/>
        <v/>
      </c>
      <c r="W258" s="339" t="str">
        <f t="shared" si="37"/>
        <v/>
      </c>
      <c r="X258" s="341" t="str">
        <f t="shared" si="38"/>
        <v/>
      </c>
      <c r="Y258" s="277"/>
      <c r="AR258" t="str">
        <f t="shared" si="39"/>
        <v/>
      </c>
      <c r="AS258" t="str">
        <f t="shared" si="40"/>
        <v/>
      </c>
    </row>
    <row r="259" spans="1:45">
      <c r="A259" s="294"/>
      <c r="B259" s="295"/>
      <c r="C259" s="296"/>
      <c r="D259" s="296"/>
      <c r="E259" s="296"/>
      <c r="F259" s="296"/>
      <c r="G259" s="297"/>
      <c r="H259" s="303"/>
      <c r="I259" s="298"/>
      <c r="J259" s="298"/>
      <c r="K259" s="299"/>
      <c r="L259" s="304"/>
      <c r="M259" s="300"/>
      <c r="N259" s="301"/>
      <c r="P259" s="193" t="str">
        <f>IF(R259 = "", "", COUNT(R$4:$R259))</f>
        <v/>
      </c>
      <c r="Q259" s="193" t="str">
        <f t="shared" si="31"/>
        <v/>
      </c>
      <c r="R259" s="194" t="str">
        <f t="shared" si="32"/>
        <v/>
      </c>
      <c r="S259" s="195" t="str">
        <f t="shared" si="34"/>
        <v/>
      </c>
      <c r="T259" s="196" t="str">
        <f t="shared" si="35"/>
        <v/>
      </c>
      <c r="U259" s="197" t="str">
        <f t="shared" si="36"/>
        <v/>
      </c>
      <c r="V259" s="198" t="str">
        <f t="shared" si="33"/>
        <v/>
      </c>
      <c r="W259" s="339" t="str">
        <f t="shared" si="37"/>
        <v/>
      </c>
      <c r="X259" s="341" t="str">
        <f t="shared" si="38"/>
        <v/>
      </c>
      <c r="Y259" s="277"/>
      <c r="AR259" t="str">
        <f t="shared" si="39"/>
        <v/>
      </c>
      <c r="AS259" t="str">
        <f t="shared" si="40"/>
        <v/>
      </c>
    </row>
    <row r="260" spans="1:45">
      <c r="A260" s="294"/>
      <c r="B260" s="295"/>
      <c r="C260" s="296"/>
      <c r="D260" s="296"/>
      <c r="E260" s="296"/>
      <c r="F260" s="296"/>
      <c r="G260" s="297"/>
      <c r="H260" s="303"/>
      <c r="I260" s="298"/>
      <c r="J260" s="298"/>
      <c r="K260" s="299"/>
      <c r="L260" s="304"/>
      <c r="M260" s="300"/>
      <c r="N260" s="301"/>
      <c r="P260" s="193" t="str">
        <f>IF(R260 = "", "", COUNT(R$4:$R260))</f>
        <v/>
      </c>
      <c r="Q260" s="193" t="str">
        <f t="shared" ref="Q260:Q323" si="41">IF(C260 &gt; 0, YEAR(B260), "")</f>
        <v/>
      </c>
      <c r="R260" s="194" t="str">
        <f t="shared" ref="R260:R323" si="42">IF(A260="", "", IF(G260="",1,IF(G260="O",1,IF(G260="C",8.4,IF(G260="B",8.4,IF(G260="A",76.8,IF(G260="K",76.8,"ERR")))))))</f>
        <v/>
      </c>
      <c r="S260" s="195" t="str">
        <f t="shared" si="34"/>
        <v/>
      </c>
      <c r="T260" s="196" t="str">
        <f t="shared" si="35"/>
        <v/>
      </c>
      <c r="U260" s="197" t="str">
        <f t="shared" si="36"/>
        <v/>
      </c>
      <c r="V260" s="198" t="str">
        <f t="shared" ref="V260:V323" si="43">IF(IF(M260&lt;&gt;"",G260,"")=0, "O", IF(M260&lt;&gt;"",G260,""))</f>
        <v/>
      </c>
      <c r="W260" s="339" t="str">
        <f t="shared" si="37"/>
        <v/>
      </c>
      <c r="X260" s="341" t="str">
        <f t="shared" si="38"/>
        <v/>
      </c>
      <c r="Y260" s="277"/>
      <c r="AR260" t="str">
        <f t="shared" si="39"/>
        <v/>
      </c>
      <c r="AS260" t="str">
        <f t="shared" si="40"/>
        <v/>
      </c>
    </row>
    <row r="261" spans="1:45">
      <c r="A261" s="294"/>
      <c r="B261" s="295"/>
      <c r="C261" s="296"/>
      <c r="D261" s="296"/>
      <c r="E261" s="296"/>
      <c r="F261" s="296"/>
      <c r="G261" s="297"/>
      <c r="H261" s="303"/>
      <c r="I261" s="298"/>
      <c r="J261" s="298"/>
      <c r="K261" s="299"/>
      <c r="L261" s="304"/>
      <c r="M261" s="300"/>
      <c r="N261" s="301"/>
      <c r="P261" s="193" t="str">
        <f>IF(R261 = "", "", COUNT(R$4:$R261))</f>
        <v/>
      </c>
      <c r="Q261" s="193" t="str">
        <f t="shared" si="41"/>
        <v/>
      </c>
      <c r="R261" s="194" t="str">
        <f t="shared" si="42"/>
        <v/>
      </c>
      <c r="S261" s="195" t="str">
        <f t="shared" ref="S261:S324" si="44">IF(L261&lt;&gt;"",R261,"")</f>
        <v/>
      </c>
      <c r="T261" s="196" t="str">
        <f t="shared" ref="T261:T324" si="45">IF(IF(L261&lt;&gt;"",G261,"")=0, "O", IF(L261&lt;&gt;"",G261,""))</f>
        <v/>
      </c>
      <c r="U261" s="197" t="str">
        <f t="shared" ref="U261:U324" si="46">IF(M261&lt;&gt;"",R261,"")</f>
        <v/>
      </c>
      <c r="V261" s="198" t="str">
        <f t="shared" si="43"/>
        <v/>
      </c>
      <c r="W261" s="339" t="str">
        <f t="shared" ref="W261:W324" si="47">IF(N261&lt;&gt;"",R261,"")</f>
        <v/>
      </c>
      <c r="X261" s="341" t="str">
        <f t="shared" ref="X261:X324" si="48">IF(IF(N261&lt;&gt;"",G261,"")=0, "O", IF(N261&lt;&gt;"",G261,""))</f>
        <v/>
      </c>
      <c r="Y261" s="277"/>
      <c r="AR261" t="str">
        <f t="shared" ref="AR261:AR324" si="49">IF(P261&gt;0, P261, "")</f>
        <v/>
      </c>
      <c r="AS261" t="str">
        <f t="shared" ref="AS261:AS324" si="50">IF(OR(L261="Y",M261="Y",N261="Y"),"Y","")</f>
        <v/>
      </c>
    </row>
    <row r="262" spans="1:45">
      <c r="A262" s="294"/>
      <c r="B262" s="295"/>
      <c r="C262" s="296"/>
      <c r="D262" s="296"/>
      <c r="E262" s="296"/>
      <c r="F262" s="296"/>
      <c r="G262" s="297"/>
      <c r="H262" s="303"/>
      <c r="I262" s="298"/>
      <c r="J262" s="298"/>
      <c r="K262" s="299"/>
      <c r="L262" s="304"/>
      <c r="M262" s="300"/>
      <c r="N262" s="301"/>
      <c r="P262" s="193" t="str">
        <f>IF(R262 = "", "", COUNT(R$4:$R262))</f>
        <v/>
      </c>
      <c r="Q262" s="193" t="str">
        <f t="shared" si="41"/>
        <v/>
      </c>
      <c r="R262" s="194" t="str">
        <f t="shared" si="42"/>
        <v/>
      </c>
      <c r="S262" s="195" t="str">
        <f t="shared" si="44"/>
        <v/>
      </c>
      <c r="T262" s="196" t="str">
        <f t="shared" si="45"/>
        <v/>
      </c>
      <c r="U262" s="197" t="str">
        <f t="shared" si="46"/>
        <v/>
      </c>
      <c r="V262" s="198" t="str">
        <f t="shared" si="43"/>
        <v/>
      </c>
      <c r="W262" s="339" t="str">
        <f t="shared" si="47"/>
        <v/>
      </c>
      <c r="X262" s="341" t="str">
        <f t="shared" si="48"/>
        <v/>
      </c>
      <c r="Y262" s="277"/>
      <c r="AR262" t="str">
        <f t="shared" si="49"/>
        <v/>
      </c>
      <c r="AS262" t="str">
        <f t="shared" si="50"/>
        <v/>
      </c>
    </row>
    <row r="263" spans="1:45">
      <c r="A263" s="294"/>
      <c r="B263" s="295"/>
      <c r="C263" s="296"/>
      <c r="D263" s="296"/>
      <c r="E263" s="296"/>
      <c r="F263" s="296"/>
      <c r="G263" s="297"/>
      <c r="H263" s="303"/>
      <c r="I263" s="298"/>
      <c r="J263" s="298"/>
      <c r="K263" s="299"/>
      <c r="L263" s="304"/>
      <c r="M263" s="300"/>
      <c r="N263" s="301"/>
      <c r="P263" s="193" t="str">
        <f>IF(R263 = "", "", COUNT(R$4:$R263))</f>
        <v/>
      </c>
      <c r="Q263" s="193" t="str">
        <f t="shared" si="41"/>
        <v/>
      </c>
      <c r="R263" s="194" t="str">
        <f t="shared" si="42"/>
        <v/>
      </c>
      <c r="S263" s="195" t="str">
        <f t="shared" si="44"/>
        <v/>
      </c>
      <c r="T263" s="196" t="str">
        <f t="shared" si="45"/>
        <v/>
      </c>
      <c r="U263" s="197" t="str">
        <f t="shared" si="46"/>
        <v/>
      </c>
      <c r="V263" s="198" t="str">
        <f t="shared" si="43"/>
        <v/>
      </c>
      <c r="W263" s="339" t="str">
        <f t="shared" si="47"/>
        <v/>
      </c>
      <c r="X263" s="341" t="str">
        <f t="shared" si="48"/>
        <v/>
      </c>
      <c r="Y263" s="277"/>
      <c r="AR263" t="str">
        <f t="shared" si="49"/>
        <v/>
      </c>
      <c r="AS263" t="str">
        <f t="shared" si="50"/>
        <v/>
      </c>
    </row>
    <row r="264" spans="1:45">
      <c r="A264" s="294"/>
      <c r="B264" s="295"/>
      <c r="C264" s="296"/>
      <c r="D264" s="296"/>
      <c r="E264" s="296"/>
      <c r="F264" s="296"/>
      <c r="G264" s="297"/>
      <c r="H264" s="303"/>
      <c r="I264" s="298"/>
      <c r="J264" s="298"/>
      <c r="K264" s="299"/>
      <c r="L264" s="304"/>
      <c r="M264" s="300"/>
      <c r="N264" s="301"/>
      <c r="P264" s="193" t="str">
        <f>IF(R264 = "", "", COUNT(R$4:$R264))</f>
        <v/>
      </c>
      <c r="Q264" s="193" t="str">
        <f t="shared" si="41"/>
        <v/>
      </c>
      <c r="R264" s="194" t="str">
        <f t="shared" si="42"/>
        <v/>
      </c>
      <c r="S264" s="195" t="str">
        <f t="shared" si="44"/>
        <v/>
      </c>
      <c r="T264" s="196" t="str">
        <f t="shared" si="45"/>
        <v/>
      </c>
      <c r="U264" s="197" t="str">
        <f t="shared" si="46"/>
        <v/>
      </c>
      <c r="V264" s="198" t="str">
        <f t="shared" si="43"/>
        <v/>
      </c>
      <c r="W264" s="339" t="str">
        <f t="shared" si="47"/>
        <v/>
      </c>
      <c r="X264" s="341" t="str">
        <f t="shared" si="48"/>
        <v/>
      </c>
      <c r="Y264" s="277"/>
      <c r="AR264" t="str">
        <f t="shared" si="49"/>
        <v/>
      </c>
      <c r="AS264" t="str">
        <f t="shared" si="50"/>
        <v/>
      </c>
    </row>
    <row r="265" spans="1:45">
      <c r="A265" s="294"/>
      <c r="B265" s="295"/>
      <c r="C265" s="296"/>
      <c r="D265" s="296"/>
      <c r="E265" s="296"/>
      <c r="F265" s="296"/>
      <c r="G265" s="297"/>
      <c r="H265" s="303"/>
      <c r="I265" s="298"/>
      <c r="J265" s="298"/>
      <c r="K265" s="299"/>
      <c r="L265" s="304"/>
      <c r="M265" s="300"/>
      <c r="N265" s="301"/>
      <c r="P265" s="193" t="str">
        <f>IF(R265 = "", "", COUNT(R$4:$R265))</f>
        <v/>
      </c>
      <c r="Q265" s="193" t="str">
        <f t="shared" si="41"/>
        <v/>
      </c>
      <c r="R265" s="194" t="str">
        <f t="shared" si="42"/>
        <v/>
      </c>
      <c r="S265" s="195" t="str">
        <f t="shared" si="44"/>
        <v/>
      </c>
      <c r="T265" s="196" t="str">
        <f t="shared" si="45"/>
        <v/>
      </c>
      <c r="U265" s="197" t="str">
        <f t="shared" si="46"/>
        <v/>
      </c>
      <c r="V265" s="198" t="str">
        <f t="shared" si="43"/>
        <v/>
      </c>
      <c r="W265" s="339" t="str">
        <f t="shared" si="47"/>
        <v/>
      </c>
      <c r="X265" s="341" t="str">
        <f t="shared" si="48"/>
        <v/>
      </c>
      <c r="Y265" s="277"/>
      <c r="AR265" t="str">
        <f t="shared" si="49"/>
        <v/>
      </c>
      <c r="AS265" t="str">
        <f t="shared" si="50"/>
        <v/>
      </c>
    </row>
    <row r="266" spans="1:45">
      <c r="A266" s="294"/>
      <c r="B266" s="295"/>
      <c r="C266" s="296"/>
      <c r="D266" s="296"/>
      <c r="E266" s="296"/>
      <c r="F266" s="296"/>
      <c r="G266" s="297"/>
      <c r="H266" s="303"/>
      <c r="I266" s="298"/>
      <c r="J266" s="298"/>
      <c r="K266" s="299"/>
      <c r="L266" s="304"/>
      <c r="M266" s="300"/>
      <c r="N266" s="301"/>
      <c r="P266" s="193" t="str">
        <f>IF(R266 = "", "", COUNT(R$4:$R266))</f>
        <v/>
      </c>
      <c r="Q266" s="193" t="str">
        <f t="shared" si="41"/>
        <v/>
      </c>
      <c r="R266" s="194" t="str">
        <f t="shared" si="42"/>
        <v/>
      </c>
      <c r="S266" s="195" t="str">
        <f t="shared" si="44"/>
        <v/>
      </c>
      <c r="T266" s="196" t="str">
        <f t="shared" si="45"/>
        <v/>
      </c>
      <c r="U266" s="197" t="str">
        <f t="shared" si="46"/>
        <v/>
      </c>
      <c r="V266" s="198" t="str">
        <f t="shared" si="43"/>
        <v/>
      </c>
      <c r="W266" s="339" t="str">
        <f t="shared" si="47"/>
        <v/>
      </c>
      <c r="X266" s="341" t="str">
        <f t="shared" si="48"/>
        <v/>
      </c>
      <c r="Y266" s="277"/>
      <c r="AR266" t="str">
        <f t="shared" si="49"/>
        <v/>
      </c>
      <c r="AS266" t="str">
        <f t="shared" si="50"/>
        <v/>
      </c>
    </row>
    <row r="267" spans="1:45">
      <c r="A267" s="294"/>
      <c r="B267" s="295"/>
      <c r="C267" s="296"/>
      <c r="D267" s="296"/>
      <c r="E267" s="296"/>
      <c r="F267" s="296"/>
      <c r="G267" s="297"/>
      <c r="H267" s="303"/>
      <c r="I267" s="298"/>
      <c r="J267" s="298"/>
      <c r="K267" s="299"/>
      <c r="L267" s="304"/>
      <c r="M267" s="300"/>
      <c r="N267" s="301"/>
      <c r="P267" s="193" t="str">
        <f>IF(R267 = "", "", COUNT(R$4:$R267))</f>
        <v/>
      </c>
      <c r="Q267" s="193" t="str">
        <f t="shared" si="41"/>
        <v/>
      </c>
      <c r="R267" s="194" t="str">
        <f t="shared" si="42"/>
        <v/>
      </c>
      <c r="S267" s="195" t="str">
        <f t="shared" si="44"/>
        <v/>
      </c>
      <c r="T267" s="196" t="str">
        <f t="shared" si="45"/>
        <v/>
      </c>
      <c r="U267" s="197" t="str">
        <f t="shared" si="46"/>
        <v/>
      </c>
      <c r="V267" s="198" t="str">
        <f t="shared" si="43"/>
        <v/>
      </c>
      <c r="W267" s="339" t="str">
        <f t="shared" si="47"/>
        <v/>
      </c>
      <c r="X267" s="341" t="str">
        <f t="shared" si="48"/>
        <v/>
      </c>
      <c r="Y267" s="277"/>
      <c r="AR267" t="str">
        <f t="shared" si="49"/>
        <v/>
      </c>
      <c r="AS267" t="str">
        <f t="shared" si="50"/>
        <v/>
      </c>
    </row>
    <row r="268" spans="1:45">
      <c r="A268" s="294"/>
      <c r="B268" s="295"/>
      <c r="C268" s="296"/>
      <c r="D268" s="296"/>
      <c r="E268" s="296"/>
      <c r="F268" s="296"/>
      <c r="G268" s="297"/>
      <c r="H268" s="303"/>
      <c r="I268" s="298"/>
      <c r="J268" s="298"/>
      <c r="K268" s="299"/>
      <c r="L268" s="304"/>
      <c r="M268" s="300"/>
      <c r="N268" s="301"/>
      <c r="P268" s="193" t="str">
        <f>IF(R268 = "", "", COUNT(R$4:$R268))</f>
        <v/>
      </c>
      <c r="Q268" s="193" t="str">
        <f t="shared" si="41"/>
        <v/>
      </c>
      <c r="R268" s="194" t="str">
        <f t="shared" si="42"/>
        <v/>
      </c>
      <c r="S268" s="195" t="str">
        <f t="shared" si="44"/>
        <v/>
      </c>
      <c r="T268" s="196" t="str">
        <f t="shared" si="45"/>
        <v/>
      </c>
      <c r="U268" s="197" t="str">
        <f t="shared" si="46"/>
        <v/>
      </c>
      <c r="V268" s="198" t="str">
        <f t="shared" si="43"/>
        <v/>
      </c>
      <c r="W268" s="339" t="str">
        <f t="shared" si="47"/>
        <v/>
      </c>
      <c r="X268" s="341" t="str">
        <f t="shared" si="48"/>
        <v/>
      </c>
      <c r="Y268" s="277"/>
      <c r="AR268" t="str">
        <f t="shared" si="49"/>
        <v/>
      </c>
      <c r="AS268" t="str">
        <f t="shared" si="50"/>
        <v/>
      </c>
    </row>
    <row r="269" spans="1:45">
      <c r="A269" s="294"/>
      <c r="B269" s="295"/>
      <c r="C269" s="296"/>
      <c r="D269" s="296"/>
      <c r="E269" s="296"/>
      <c r="F269" s="296"/>
      <c r="G269" s="297"/>
      <c r="H269" s="303"/>
      <c r="I269" s="298"/>
      <c r="J269" s="298"/>
      <c r="K269" s="299"/>
      <c r="L269" s="304"/>
      <c r="M269" s="300"/>
      <c r="N269" s="301"/>
      <c r="P269" s="193" t="str">
        <f>IF(R269 = "", "", COUNT(R$4:$R269))</f>
        <v/>
      </c>
      <c r="Q269" s="193" t="str">
        <f t="shared" si="41"/>
        <v/>
      </c>
      <c r="R269" s="194" t="str">
        <f t="shared" si="42"/>
        <v/>
      </c>
      <c r="S269" s="195" t="str">
        <f t="shared" si="44"/>
        <v/>
      </c>
      <c r="T269" s="196" t="str">
        <f t="shared" si="45"/>
        <v/>
      </c>
      <c r="U269" s="197" t="str">
        <f t="shared" si="46"/>
        <v/>
      </c>
      <c r="V269" s="198" t="str">
        <f t="shared" si="43"/>
        <v/>
      </c>
      <c r="W269" s="339" t="str">
        <f t="shared" si="47"/>
        <v/>
      </c>
      <c r="X269" s="341" t="str">
        <f t="shared" si="48"/>
        <v/>
      </c>
      <c r="Y269" s="277"/>
      <c r="AR269" t="str">
        <f t="shared" si="49"/>
        <v/>
      </c>
      <c r="AS269" t="str">
        <f t="shared" si="50"/>
        <v/>
      </c>
    </row>
    <row r="270" spans="1:45">
      <c r="A270" s="294"/>
      <c r="B270" s="295"/>
      <c r="C270" s="296"/>
      <c r="D270" s="296"/>
      <c r="E270" s="296"/>
      <c r="F270" s="296"/>
      <c r="G270" s="297"/>
      <c r="H270" s="303"/>
      <c r="I270" s="298"/>
      <c r="J270" s="298"/>
      <c r="K270" s="299"/>
      <c r="L270" s="304"/>
      <c r="M270" s="300"/>
      <c r="N270" s="301"/>
      <c r="P270" s="193" t="str">
        <f>IF(R270 = "", "", COUNT(R$4:$R270))</f>
        <v/>
      </c>
      <c r="Q270" s="193" t="str">
        <f t="shared" si="41"/>
        <v/>
      </c>
      <c r="R270" s="194" t="str">
        <f t="shared" si="42"/>
        <v/>
      </c>
      <c r="S270" s="195" t="str">
        <f t="shared" si="44"/>
        <v/>
      </c>
      <c r="T270" s="196" t="str">
        <f t="shared" si="45"/>
        <v/>
      </c>
      <c r="U270" s="197" t="str">
        <f t="shared" si="46"/>
        <v/>
      </c>
      <c r="V270" s="198" t="str">
        <f t="shared" si="43"/>
        <v/>
      </c>
      <c r="W270" s="339" t="str">
        <f t="shared" si="47"/>
        <v/>
      </c>
      <c r="X270" s="341" t="str">
        <f t="shared" si="48"/>
        <v/>
      </c>
      <c r="Y270" s="277"/>
      <c r="AR270" t="str">
        <f t="shared" si="49"/>
        <v/>
      </c>
      <c r="AS270" t="str">
        <f t="shared" si="50"/>
        <v/>
      </c>
    </row>
    <row r="271" spans="1:45">
      <c r="A271" s="294"/>
      <c r="B271" s="295"/>
      <c r="C271" s="296"/>
      <c r="D271" s="296"/>
      <c r="E271" s="296"/>
      <c r="F271" s="296"/>
      <c r="G271" s="297"/>
      <c r="H271" s="303"/>
      <c r="I271" s="298"/>
      <c r="J271" s="298"/>
      <c r="K271" s="299"/>
      <c r="L271" s="304"/>
      <c r="M271" s="300"/>
      <c r="N271" s="301"/>
      <c r="P271" s="193" t="str">
        <f>IF(R271 = "", "", COUNT(R$4:$R271))</f>
        <v/>
      </c>
      <c r="Q271" s="193" t="str">
        <f t="shared" si="41"/>
        <v/>
      </c>
      <c r="R271" s="194" t="str">
        <f t="shared" si="42"/>
        <v/>
      </c>
      <c r="S271" s="195" t="str">
        <f t="shared" si="44"/>
        <v/>
      </c>
      <c r="T271" s="196" t="str">
        <f t="shared" si="45"/>
        <v/>
      </c>
      <c r="U271" s="197" t="str">
        <f t="shared" si="46"/>
        <v/>
      </c>
      <c r="V271" s="198" t="str">
        <f t="shared" si="43"/>
        <v/>
      </c>
      <c r="W271" s="339" t="str">
        <f t="shared" si="47"/>
        <v/>
      </c>
      <c r="X271" s="341" t="str">
        <f t="shared" si="48"/>
        <v/>
      </c>
      <c r="Y271" s="277"/>
      <c r="AR271" t="str">
        <f t="shared" si="49"/>
        <v/>
      </c>
      <c r="AS271" t="str">
        <f t="shared" si="50"/>
        <v/>
      </c>
    </row>
    <row r="272" spans="1:45">
      <c r="A272" s="294"/>
      <c r="B272" s="295"/>
      <c r="C272" s="296"/>
      <c r="D272" s="296"/>
      <c r="E272" s="296"/>
      <c r="F272" s="296"/>
      <c r="G272" s="297"/>
      <c r="H272" s="303"/>
      <c r="I272" s="298"/>
      <c r="J272" s="298"/>
      <c r="K272" s="299"/>
      <c r="L272" s="304"/>
      <c r="M272" s="300"/>
      <c r="N272" s="301"/>
      <c r="P272" s="193" t="str">
        <f>IF(R272 = "", "", COUNT(R$4:$R272))</f>
        <v/>
      </c>
      <c r="Q272" s="193" t="str">
        <f t="shared" si="41"/>
        <v/>
      </c>
      <c r="R272" s="194" t="str">
        <f t="shared" si="42"/>
        <v/>
      </c>
      <c r="S272" s="195" t="str">
        <f t="shared" si="44"/>
        <v/>
      </c>
      <c r="T272" s="196" t="str">
        <f t="shared" si="45"/>
        <v/>
      </c>
      <c r="U272" s="197" t="str">
        <f t="shared" si="46"/>
        <v/>
      </c>
      <c r="V272" s="198" t="str">
        <f t="shared" si="43"/>
        <v/>
      </c>
      <c r="W272" s="339" t="str">
        <f t="shared" si="47"/>
        <v/>
      </c>
      <c r="X272" s="341" t="str">
        <f t="shared" si="48"/>
        <v/>
      </c>
      <c r="Y272" s="277"/>
      <c r="AR272" t="str">
        <f t="shared" si="49"/>
        <v/>
      </c>
      <c r="AS272" t="str">
        <f t="shared" si="50"/>
        <v/>
      </c>
    </row>
    <row r="273" spans="1:45">
      <c r="A273" s="294"/>
      <c r="B273" s="295"/>
      <c r="C273" s="296"/>
      <c r="D273" s="296"/>
      <c r="E273" s="296"/>
      <c r="F273" s="296"/>
      <c r="G273" s="297"/>
      <c r="H273" s="303"/>
      <c r="I273" s="298"/>
      <c r="J273" s="298"/>
      <c r="K273" s="299"/>
      <c r="L273" s="304"/>
      <c r="M273" s="300"/>
      <c r="N273" s="301"/>
      <c r="P273" s="193" t="str">
        <f>IF(R273 = "", "", COUNT(R$4:$R273))</f>
        <v/>
      </c>
      <c r="Q273" s="193" t="str">
        <f t="shared" si="41"/>
        <v/>
      </c>
      <c r="R273" s="194" t="str">
        <f t="shared" si="42"/>
        <v/>
      </c>
      <c r="S273" s="195" t="str">
        <f t="shared" si="44"/>
        <v/>
      </c>
      <c r="T273" s="196" t="str">
        <f t="shared" si="45"/>
        <v/>
      </c>
      <c r="U273" s="197" t="str">
        <f t="shared" si="46"/>
        <v/>
      </c>
      <c r="V273" s="198" t="str">
        <f t="shared" si="43"/>
        <v/>
      </c>
      <c r="W273" s="339" t="str">
        <f t="shared" si="47"/>
        <v/>
      </c>
      <c r="X273" s="341" t="str">
        <f t="shared" si="48"/>
        <v/>
      </c>
      <c r="Y273" s="277"/>
      <c r="AR273" t="str">
        <f t="shared" si="49"/>
        <v/>
      </c>
      <c r="AS273" t="str">
        <f t="shared" si="50"/>
        <v/>
      </c>
    </row>
    <row r="274" spans="1:45">
      <c r="A274" s="294"/>
      <c r="B274" s="295"/>
      <c r="C274" s="296"/>
      <c r="D274" s="296"/>
      <c r="E274" s="296"/>
      <c r="F274" s="296"/>
      <c r="G274" s="297"/>
      <c r="H274" s="303"/>
      <c r="I274" s="298"/>
      <c r="J274" s="298"/>
      <c r="K274" s="299"/>
      <c r="L274" s="304"/>
      <c r="M274" s="300"/>
      <c r="N274" s="301"/>
      <c r="P274" s="193" t="str">
        <f>IF(R274 = "", "", COUNT(R$4:$R274))</f>
        <v/>
      </c>
      <c r="Q274" s="193" t="str">
        <f t="shared" si="41"/>
        <v/>
      </c>
      <c r="R274" s="194" t="str">
        <f t="shared" si="42"/>
        <v/>
      </c>
      <c r="S274" s="195" t="str">
        <f t="shared" si="44"/>
        <v/>
      </c>
      <c r="T274" s="196" t="str">
        <f t="shared" si="45"/>
        <v/>
      </c>
      <c r="U274" s="197" t="str">
        <f t="shared" si="46"/>
        <v/>
      </c>
      <c r="V274" s="198" t="str">
        <f t="shared" si="43"/>
        <v/>
      </c>
      <c r="W274" s="339" t="str">
        <f t="shared" si="47"/>
        <v/>
      </c>
      <c r="X274" s="341" t="str">
        <f t="shared" si="48"/>
        <v/>
      </c>
      <c r="Y274" s="277"/>
      <c r="AR274" t="str">
        <f t="shared" si="49"/>
        <v/>
      </c>
      <c r="AS274" t="str">
        <f t="shared" si="50"/>
        <v/>
      </c>
    </row>
    <row r="275" spans="1:45">
      <c r="A275" s="294"/>
      <c r="B275" s="295"/>
      <c r="C275" s="296"/>
      <c r="D275" s="296"/>
      <c r="E275" s="296"/>
      <c r="F275" s="296"/>
      <c r="G275" s="297"/>
      <c r="H275" s="303"/>
      <c r="I275" s="298"/>
      <c r="J275" s="298"/>
      <c r="K275" s="299"/>
      <c r="L275" s="304"/>
      <c r="M275" s="300"/>
      <c r="N275" s="301"/>
      <c r="P275" s="193" t="str">
        <f>IF(R275 = "", "", COUNT(R$4:$R275))</f>
        <v/>
      </c>
      <c r="Q275" s="193" t="str">
        <f t="shared" si="41"/>
        <v/>
      </c>
      <c r="R275" s="194" t="str">
        <f t="shared" si="42"/>
        <v/>
      </c>
      <c r="S275" s="195" t="str">
        <f t="shared" si="44"/>
        <v/>
      </c>
      <c r="T275" s="196" t="str">
        <f t="shared" si="45"/>
        <v/>
      </c>
      <c r="U275" s="197" t="str">
        <f t="shared" si="46"/>
        <v/>
      </c>
      <c r="V275" s="198" t="str">
        <f t="shared" si="43"/>
        <v/>
      </c>
      <c r="W275" s="339" t="str">
        <f t="shared" si="47"/>
        <v/>
      </c>
      <c r="X275" s="341" t="str">
        <f t="shared" si="48"/>
        <v/>
      </c>
      <c r="Y275" s="277"/>
      <c r="AR275" t="str">
        <f t="shared" si="49"/>
        <v/>
      </c>
      <c r="AS275" t="str">
        <f t="shared" si="50"/>
        <v/>
      </c>
    </row>
    <row r="276" spans="1:45">
      <c r="A276" s="294"/>
      <c r="B276" s="295"/>
      <c r="C276" s="296"/>
      <c r="D276" s="296"/>
      <c r="E276" s="296"/>
      <c r="F276" s="296"/>
      <c r="G276" s="297"/>
      <c r="H276" s="303"/>
      <c r="I276" s="298"/>
      <c r="J276" s="298"/>
      <c r="K276" s="299"/>
      <c r="L276" s="304"/>
      <c r="M276" s="300"/>
      <c r="N276" s="301"/>
      <c r="P276" s="193" t="str">
        <f>IF(R276 = "", "", COUNT(R$4:$R276))</f>
        <v/>
      </c>
      <c r="Q276" s="193" t="str">
        <f t="shared" si="41"/>
        <v/>
      </c>
      <c r="R276" s="194" t="str">
        <f t="shared" si="42"/>
        <v/>
      </c>
      <c r="S276" s="195" t="str">
        <f t="shared" si="44"/>
        <v/>
      </c>
      <c r="T276" s="196" t="str">
        <f t="shared" si="45"/>
        <v/>
      </c>
      <c r="U276" s="197" t="str">
        <f t="shared" si="46"/>
        <v/>
      </c>
      <c r="V276" s="198" t="str">
        <f t="shared" si="43"/>
        <v/>
      </c>
      <c r="W276" s="339" t="str">
        <f t="shared" si="47"/>
        <v/>
      </c>
      <c r="X276" s="341" t="str">
        <f t="shared" si="48"/>
        <v/>
      </c>
      <c r="Y276" s="277"/>
      <c r="AR276" t="str">
        <f t="shared" si="49"/>
        <v/>
      </c>
      <c r="AS276" t="str">
        <f t="shared" si="50"/>
        <v/>
      </c>
    </row>
    <row r="277" spans="1:45">
      <c r="A277" s="294"/>
      <c r="B277" s="295"/>
      <c r="C277" s="296"/>
      <c r="D277" s="296"/>
      <c r="E277" s="296"/>
      <c r="F277" s="296"/>
      <c r="G277" s="297"/>
      <c r="H277" s="303"/>
      <c r="I277" s="298"/>
      <c r="J277" s="298"/>
      <c r="K277" s="299"/>
      <c r="L277" s="304"/>
      <c r="M277" s="300"/>
      <c r="N277" s="301"/>
      <c r="P277" s="193" t="str">
        <f>IF(R277 = "", "", COUNT(R$4:$R277))</f>
        <v/>
      </c>
      <c r="Q277" s="193" t="str">
        <f t="shared" si="41"/>
        <v/>
      </c>
      <c r="R277" s="194" t="str">
        <f t="shared" si="42"/>
        <v/>
      </c>
      <c r="S277" s="195" t="str">
        <f t="shared" si="44"/>
        <v/>
      </c>
      <c r="T277" s="196" t="str">
        <f t="shared" si="45"/>
        <v/>
      </c>
      <c r="U277" s="197" t="str">
        <f t="shared" si="46"/>
        <v/>
      </c>
      <c r="V277" s="198" t="str">
        <f t="shared" si="43"/>
        <v/>
      </c>
      <c r="W277" s="339" t="str">
        <f t="shared" si="47"/>
        <v/>
      </c>
      <c r="X277" s="341" t="str">
        <f t="shared" si="48"/>
        <v/>
      </c>
      <c r="Y277" s="277"/>
      <c r="AR277" t="str">
        <f t="shared" si="49"/>
        <v/>
      </c>
      <c r="AS277" t="str">
        <f t="shared" si="50"/>
        <v/>
      </c>
    </row>
    <row r="278" spans="1:45">
      <c r="A278" s="294"/>
      <c r="B278" s="295"/>
      <c r="C278" s="296"/>
      <c r="D278" s="296"/>
      <c r="E278" s="296"/>
      <c r="F278" s="296"/>
      <c r="G278" s="297"/>
      <c r="H278" s="303"/>
      <c r="I278" s="298"/>
      <c r="J278" s="298"/>
      <c r="K278" s="299"/>
      <c r="L278" s="304"/>
      <c r="M278" s="300"/>
      <c r="N278" s="301"/>
      <c r="P278" s="193" t="str">
        <f>IF(R278 = "", "", COUNT(R$4:$R278))</f>
        <v/>
      </c>
      <c r="Q278" s="193" t="str">
        <f t="shared" si="41"/>
        <v/>
      </c>
      <c r="R278" s="194" t="str">
        <f t="shared" si="42"/>
        <v/>
      </c>
      <c r="S278" s="195" t="str">
        <f t="shared" si="44"/>
        <v/>
      </c>
      <c r="T278" s="196" t="str">
        <f t="shared" si="45"/>
        <v/>
      </c>
      <c r="U278" s="197" t="str">
        <f t="shared" si="46"/>
        <v/>
      </c>
      <c r="V278" s="198" t="str">
        <f t="shared" si="43"/>
        <v/>
      </c>
      <c r="W278" s="339" t="str">
        <f t="shared" si="47"/>
        <v/>
      </c>
      <c r="X278" s="341" t="str">
        <f t="shared" si="48"/>
        <v/>
      </c>
      <c r="Y278" s="277"/>
      <c r="AR278" t="str">
        <f t="shared" si="49"/>
        <v/>
      </c>
      <c r="AS278" t="str">
        <f t="shared" si="50"/>
        <v/>
      </c>
    </row>
    <row r="279" spans="1:45">
      <c r="A279" s="294"/>
      <c r="B279" s="295"/>
      <c r="C279" s="296"/>
      <c r="D279" s="296"/>
      <c r="E279" s="296"/>
      <c r="F279" s="296"/>
      <c r="G279" s="297"/>
      <c r="H279" s="303"/>
      <c r="I279" s="298"/>
      <c r="J279" s="298"/>
      <c r="K279" s="299"/>
      <c r="L279" s="304"/>
      <c r="M279" s="300"/>
      <c r="N279" s="301"/>
      <c r="P279" s="193" t="str">
        <f>IF(R279 = "", "", COUNT(R$4:$R279))</f>
        <v/>
      </c>
      <c r="Q279" s="193" t="str">
        <f t="shared" si="41"/>
        <v/>
      </c>
      <c r="R279" s="194" t="str">
        <f t="shared" si="42"/>
        <v/>
      </c>
      <c r="S279" s="195" t="str">
        <f t="shared" si="44"/>
        <v/>
      </c>
      <c r="T279" s="196" t="str">
        <f t="shared" si="45"/>
        <v/>
      </c>
      <c r="U279" s="197" t="str">
        <f t="shared" si="46"/>
        <v/>
      </c>
      <c r="V279" s="198" t="str">
        <f t="shared" si="43"/>
        <v/>
      </c>
      <c r="W279" s="339" t="str">
        <f t="shared" si="47"/>
        <v/>
      </c>
      <c r="X279" s="341" t="str">
        <f t="shared" si="48"/>
        <v/>
      </c>
      <c r="Y279" s="277"/>
      <c r="AR279" t="str">
        <f t="shared" si="49"/>
        <v/>
      </c>
      <c r="AS279" t="str">
        <f t="shared" si="50"/>
        <v/>
      </c>
    </row>
    <row r="280" spans="1:45">
      <c r="A280" s="294"/>
      <c r="B280" s="295"/>
      <c r="C280" s="296"/>
      <c r="D280" s="296"/>
      <c r="E280" s="296"/>
      <c r="F280" s="296"/>
      <c r="G280" s="297"/>
      <c r="H280" s="303"/>
      <c r="I280" s="298"/>
      <c r="J280" s="298"/>
      <c r="K280" s="299"/>
      <c r="L280" s="304"/>
      <c r="M280" s="300"/>
      <c r="N280" s="301"/>
      <c r="P280" s="193" t="str">
        <f>IF(R280 = "", "", COUNT(R$4:$R280))</f>
        <v/>
      </c>
      <c r="Q280" s="193" t="str">
        <f t="shared" si="41"/>
        <v/>
      </c>
      <c r="R280" s="194" t="str">
        <f t="shared" si="42"/>
        <v/>
      </c>
      <c r="S280" s="195" t="str">
        <f t="shared" si="44"/>
        <v/>
      </c>
      <c r="T280" s="196" t="str">
        <f t="shared" si="45"/>
        <v/>
      </c>
      <c r="U280" s="197" t="str">
        <f t="shared" si="46"/>
        <v/>
      </c>
      <c r="V280" s="198" t="str">
        <f t="shared" si="43"/>
        <v/>
      </c>
      <c r="W280" s="339" t="str">
        <f t="shared" si="47"/>
        <v/>
      </c>
      <c r="X280" s="341" t="str">
        <f t="shared" si="48"/>
        <v/>
      </c>
      <c r="Y280" s="277"/>
      <c r="AR280" t="str">
        <f t="shared" si="49"/>
        <v/>
      </c>
      <c r="AS280" t="str">
        <f t="shared" si="50"/>
        <v/>
      </c>
    </row>
    <row r="281" spans="1:45">
      <c r="A281" s="294"/>
      <c r="B281" s="295"/>
      <c r="C281" s="296"/>
      <c r="D281" s="296"/>
      <c r="E281" s="296"/>
      <c r="F281" s="296"/>
      <c r="G281" s="297"/>
      <c r="H281" s="303"/>
      <c r="I281" s="298"/>
      <c r="J281" s="298"/>
      <c r="K281" s="299"/>
      <c r="L281" s="304"/>
      <c r="M281" s="300"/>
      <c r="N281" s="301"/>
      <c r="P281" s="193" t="str">
        <f>IF(R281 = "", "", COUNT(R$4:$R281))</f>
        <v/>
      </c>
      <c r="Q281" s="193" t="str">
        <f t="shared" si="41"/>
        <v/>
      </c>
      <c r="R281" s="194" t="str">
        <f t="shared" si="42"/>
        <v/>
      </c>
      <c r="S281" s="195" t="str">
        <f t="shared" si="44"/>
        <v/>
      </c>
      <c r="T281" s="196" t="str">
        <f t="shared" si="45"/>
        <v/>
      </c>
      <c r="U281" s="197" t="str">
        <f t="shared" si="46"/>
        <v/>
      </c>
      <c r="V281" s="198" t="str">
        <f t="shared" si="43"/>
        <v/>
      </c>
      <c r="W281" s="339" t="str">
        <f t="shared" si="47"/>
        <v/>
      </c>
      <c r="X281" s="341" t="str">
        <f t="shared" si="48"/>
        <v/>
      </c>
      <c r="Y281" s="277"/>
      <c r="AR281" t="str">
        <f t="shared" si="49"/>
        <v/>
      </c>
      <c r="AS281" t="str">
        <f t="shared" si="50"/>
        <v/>
      </c>
    </row>
    <row r="282" spans="1:45">
      <c r="A282" s="294"/>
      <c r="B282" s="295"/>
      <c r="C282" s="296"/>
      <c r="D282" s="296"/>
      <c r="E282" s="296"/>
      <c r="F282" s="296"/>
      <c r="G282" s="297"/>
      <c r="H282" s="303"/>
      <c r="I282" s="298"/>
      <c r="J282" s="298"/>
      <c r="K282" s="299"/>
      <c r="L282" s="304"/>
      <c r="M282" s="300"/>
      <c r="N282" s="301"/>
      <c r="P282" s="193" t="str">
        <f>IF(R282 = "", "", COUNT(R$4:$R282))</f>
        <v/>
      </c>
      <c r="Q282" s="193" t="str">
        <f t="shared" si="41"/>
        <v/>
      </c>
      <c r="R282" s="194" t="str">
        <f t="shared" si="42"/>
        <v/>
      </c>
      <c r="S282" s="195" t="str">
        <f t="shared" si="44"/>
        <v/>
      </c>
      <c r="T282" s="196" t="str">
        <f t="shared" si="45"/>
        <v/>
      </c>
      <c r="U282" s="197" t="str">
        <f t="shared" si="46"/>
        <v/>
      </c>
      <c r="V282" s="198" t="str">
        <f t="shared" si="43"/>
        <v/>
      </c>
      <c r="W282" s="339" t="str">
        <f t="shared" si="47"/>
        <v/>
      </c>
      <c r="X282" s="341" t="str">
        <f t="shared" si="48"/>
        <v/>
      </c>
      <c r="Y282" s="277"/>
      <c r="AR282" t="str">
        <f t="shared" si="49"/>
        <v/>
      </c>
      <c r="AS282" t="str">
        <f t="shared" si="50"/>
        <v/>
      </c>
    </row>
    <row r="283" spans="1:45">
      <c r="A283" s="294"/>
      <c r="B283" s="295"/>
      <c r="C283" s="296"/>
      <c r="D283" s="296"/>
      <c r="E283" s="296"/>
      <c r="F283" s="296"/>
      <c r="G283" s="297"/>
      <c r="H283" s="303"/>
      <c r="I283" s="298"/>
      <c r="J283" s="298"/>
      <c r="K283" s="299"/>
      <c r="L283" s="304"/>
      <c r="M283" s="300"/>
      <c r="N283" s="301"/>
      <c r="P283" s="193" t="str">
        <f>IF(R283 = "", "", COUNT(R$4:$R283))</f>
        <v/>
      </c>
      <c r="Q283" s="193" t="str">
        <f t="shared" si="41"/>
        <v/>
      </c>
      <c r="R283" s="194" t="str">
        <f t="shared" si="42"/>
        <v/>
      </c>
      <c r="S283" s="195" t="str">
        <f t="shared" si="44"/>
        <v/>
      </c>
      <c r="T283" s="196" t="str">
        <f t="shared" si="45"/>
        <v/>
      </c>
      <c r="U283" s="197" t="str">
        <f t="shared" si="46"/>
        <v/>
      </c>
      <c r="V283" s="198" t="str">
        <f t="shared" si="43"/>
        <v/>
      </c>
      <c r="W283" s="339" t="str">
        <f t="shared" si="47"/>
        <v/>
      </c>
      <c r="X283" s="341" t="str">
        <f t="shared" si="48"/>
        <v/>
      </c>
      <c r="Y283" s="277"/>
      <c r="AR283" t="str">
        <f t="shared" si="49"/>
        <v/>
      </c>
      <c r="AS283" t="str">
        <f t="shared" si="50"/>
        <v/>
      </c>
    </row>
    <row r="284" spans="1:45">
      <c r="A284" s="294"/>
      <c r="B284" s="295"/>
      <c r="C284" s="296"/>
      <c r="D284" s="296"/>
      <c r="E284" s="296"/>
      <c r="F284" s="296"/>
      <c r="G284" s="297"/>
      <c r="H284" s="303"/>
      <c r="I284" s="298"/>
      <c r="J284" s="298"/>
      <c r="K284" s="299"/>
      <c r="L284" s="304"/>
      <c r="M284" s="300"/>
      <c r="N284" s="301"/>
      <c r="P284" s="193" t="str">
        <f>IF(R284 = "", "", COUNT(R$4:$R284))</f>
        <v/>
      </c>
      <c r="Q284" s="193" t="str">
        <f t="shared" si="41"/>
        <v/>
      </c>
      <c r="R284" s="194" t="str">
        <f t="shared" si="42"/>
        <v/>
      </c>
      <c r="S284" s="195" t="str">
        <f t="shared" si="44"/>
        <v/>
      </c>
      <c r="T284" s="196" t="str">
        <f t="shared" si="45"/>
        <v/>
      </c>
      <c r="U284" s="197" t="str">
        <f t="shared" si="46"/>
        <v/>
      </c>
      <c r="V284" s="198" t="str">
        <f t="shared" si="43"/>
        <v/>
      </c>
      <c r="W284" s="339" t="str">
        <f t="shared" si="47"/>
        <v/>
      </c>
      <c r="X284" s="341" t="str">
        <f t="shared" si="48"/>
        <v/>
      </c>
      <c r="Y284" s="277"/>
      <c r="AR284" t="str">
        <f t="shared" si="49"/>
        <v/>
      </c>
      <c r="AS284" t="str">
        <f t="shared" si="50"/>
        <v/>
      </c>
    </row>
    <row r="285" spans="1:45">
      <c r="A285" s="294"/>
      <c r="B285" s="295"/>
      <c r="C285" s="296"/>
      <c r="D285" s="296"/>
      <c r="E285" s="296"/>
      <c r="F285" s="296"/>
      <c r="G285" s="297"/>
      <c r="H285" s="303"/>
      <c r="I285" s="298"/>
      <c r="J285" s="298"/>
      <c r="K285" s="299"/>
      <c r="L285" s="304"/>
      <c r="M285" s="300"/>
      <c r="N285" s="301"/>
      <c r="P285" s="193" t="str">
        <f>IF(R285 = "", "", COUNT(R$4:$R285))</f>
        <v/>
      </c>
      <c r="Q285" s="193" t="str">
        <f t="shared" si="41"/>
        <v/>
      </c>
      <c r="R285" s="194" t="str">
        <f t="shared" si="42"/>
        <v/>
      </c>
      <c r="S285" s="195" t="str">
        <f t="shared" si="44"/>
        <v/>
      </c>
      <c r="T285" s="196" t="str">
        <f t="shared" si="45"/>
        <v/>
      </c>
      <c r="U285" s="197" t="str">
        <f t="shared" si="46"/>
        <v/>
      </c>
      <c r="V285" s="198" t="str">
        <f t="shared" si="43"/>
        <v/>
      </c>
      <c r="W285" s="339" t="str">
        <f t="shared" si="47"/>
        <v/>
      </c>
      <c r="X285" s="341" t="str">
        <f t="shared" si="48"/>
        <v/>
      </c>
      <c r="Y285" s="277"/>
      <c r="AR285" t="str">
        <f t="shared" si="49"/>
        <v/>
      </c>
      <c r="AS285" t="str">
        <f t="shared" si="50"/>
        <v/>
      </c>
    </row>
    <row r="286" spans="1:45">
      <c r="A286" s="294"/>
      <c r="B286" s="295"/>
      <c r="C286" s="296"/>
      <c r="D286" s="296"/>
      <c r="E286" s="296"/>
      <c r="F286" s="296"/>
      <c r="G286" s="297"/>
      <c r="H286" s="303"/>
      <c r="I286" s="298"/>
      <c r="J286" s="298"/>
      <c r="K286" s="299"/>
      <c r="L286" s="304"/>
      <c r="M286" s="300"/>
      <c r="N286" s="301"/>
      <c r="P286" s="193" t="str">
        <f>IF(R286 = "", "", COUNT(R$4:$R286))</f>
        <v/>
      </c>
      <c r="Q286" s="193" t="str">
        <f t="shared" si="41"/>
        <v/>
      </c>
      <c r="R286" s="194" t="str">
        <f t="shared" si="42"/>
        <v/>
      </c>
      <c r="S286" s="195" t="str">
        <f t="shared" si="44"/>
        <v/>
      </c>
      <c r="T286" s="196" t="str">
        <f t="shared" si="45"/>
        <v/>
      </c>
      <c r="U286" s="197" t="str">
        <f t="shared" si="46"/>
        <v/>
      </c>
      <c r="V286" s="198" t="str">
        <f t="shared" si="43"/>
        <v/>
      </c>
      <c r="W286" s="339" t="str">
        <f t="shared" si="47"/>
        <v/>
      </c>
      <c r="X286" s="341" t="str">
        <f t="shared" si="48"/>
        <v/>
      </c>
      <c r="Y286" s="277"/>
      <c r="AR286" t="str">
        <f t="shared" si="49"/>
        <v/>
      </c>
      <c r="AS286" t="str">
        <f t="shared" si="50"/>
        <v/>
      </c>
    </row>
    <row r="287" spans="1:45">
      <c r="A287" s="294"/>
      <c r="B287" s="295"/>
      <c r="C287" s="296"/>
      <c r="D287" s="296"/>
      <c r="E287" s="296"/>
      <c r="F287" s="296"/>
      <c r="G287" s="297"/>
      <c r="H287" s="303"/>
      <c r="I287" s="298"/>
      <c r="J287" s="298"/>
      <c r="K287" s="299"/>
      <c r="L287" s="304"/>
      <c r="M287" s="300"/>
      <c r="N287" s="301"/>
      <c r="P287" s="193" t="str">
        <f>IF(R287 = "", "", COUNT(R$4:$R287))</f>
        <v/>
      </c>
      <c r="Q287" s="193" t="str">
        <f t="shared" si="41"/>
        <v/>
      </c>
      <c r="R287" s="194" t="str">
        <f t="shared" si="42"/>
        <v/>
      </c>
      <c r="S287" s="195" t="str">
        <f t="shared" si="44"/>
        <v/>
      </c>
      <c r="T287" s="196" t="str">
        <f t="shared" si="45"/>
        <v/>
      </c>
      <c r="U287" s="197" t="str">
        <f t="shared" si="46"/>
        <v/>
      </c>
      <c r="V287" s="198" t="str">
        <f t="shared" si="43"/>
        <v/>
      </c>
      <c r="W287" s="339" t="str">
        <f t="shared" si="47"/>
        <v/>
      </c>
      <c r="X287" s="341" t="str">
        <f t="shared" si="48"/>
        <v/>
      </c>
      <c r="Y287" s="277"/>
      <c r="AR287" t="str">
        <f t="shared" si="49"/>
        <v/>
      </c>
      <c r="AS287" t="str">
        <f t="shared" si="50"/>
        <v/>
      </c>
    </row>
    <row r="288" spans="1:45">
      <c r="A288" s="294"/>
      <c r="B288" s="295"/>
      <c r="C288" s="296"/>
      <c r="D288" s="296"/>
      <c r="E288" s="296"/>
      <c r="F288" s="296"/>
      <c r="G288" s="297"/>
      <c r="H288" s="303"/>
      <c r="I288" s="298"/>
      <c r="J288" s="298"/>
      <c r="K288" s="299"/>
      <c r="L288" s="304"/>
      <c r="M288" s="300"/>
      <c r="N288" s="301"/>
      <c r="P288" s="193" t="str">
        <f>IF(R288 = "", "", COUNT(R$4:$R288))</f>
        <v/>
      </c>
      <c r="Q288" s="193" t="str">
        <f t="shared" si="41"/>
        <v/>
      </c>
      <c r="R288" s="194" t="str">
        <f t="shared" si="42"/>
        <v/>
      </c>
      <c r="S288" s="195" t="str">
        <f t="shared" si="44"/>
        <v/>
      </c>
      <c r="T288" s="196" t="str">
        <f t="shared" si="45"/>
        <v/>
      </c>
      <c r="U288" s="197" t="str">
        <f t="shared" si="46"/>
        <v/>
      </c>
      <c r="V288" s="198" t="str">
        <f t="shared" si="43"/>
        <v/>
      </c>
      <c r="W288" s="339" t="str">
        <f t="shared" si="47"/>
        <v/>
      </c>
      <c r="X288" s="341" t="str">
        <f t="shared" si="48"/>
        <v/>
      </c>
      <c r="Y288" s="277"/>
      <c r="AR288" t="str">
        <f t="shared" si="49"/>
        <v/>
      </c>
      <c r="AS288" t="str">
        <f t="shared" si="50"/>
        <v/>
      </c>
    </row>
    <row r="289" spans="1:45">
      <c r="A289" s="294"/>
      <c r="B289" s="295"/>
      <c r="C289" s="296"/>
      <c r="D289" s="296"/>
      <c r="E289" s="296"/>
      <c r="F289" s="296"/>
      <c r="G289" s="297"/>
      <c r="H289" s="303"/>
      <c r="I289" s="298"/>
      <c r="J289" s="298"/>
      <c r="K289" s="299"/>
      <c r="L289" s="304"/>
      <c r="M289" s="300"/>
      <c r="N289" s="301"/>
      <c r="P289" s="193" t="str">
        <f>IF(R289 = "", "", COUNT(R$4:$R289))</f>
        <v/>
      </c>
      <c r="Q289" s="193" t="str">
        <f t="shared" si="41"/>
        <v/>
      </c>
      <c r="R289" s="194" t="str">
        <f t="shared" si="42"/>
        <v/>
      </c>
      <c r="S289" s="195" t="str">
        <f t="shared" si="44"/>
        <v/>
      </c>
      <c r="T289" s="196" t="str">
        <f t="shared" si="45"/>
        <v/>
      </c>
      <c r="U289" s="197" t="str">
        <f t="shared" si="46"/>
        <v/>
      </c>
      <c r="V289" s="198" t="str">
        <f t="shared" si="43"/>
        <v/>
      </c>
      <c r="W289" s="339" t="str">
        <f t="shared" si="47"/>
        <v/>
      </c>
      <c r="X289" s="341" t="str">
        <f t="shared" si="48"/>
        <v/>
      </c>
      <c r="Y289" s="277"/>
      <c r="AR289" t="str">
        <f t="shared" si="49"/>
        <v/>
      </c>
      <c r="AS289" t="str">
        <f t="shared" si="50"/>
        <v/>
      </c>
    </row>
    <row r="290" spans="1:45">
      <c r="A290" s="294"/>
      <c r="B290" s="295"/>
      <c r="C290" s="296"/>
      <c r="D290" s="296"/>
      <c r="E290" s="296"/>
      <c r="F290" s="296"/>
      <c r="G290" s="297"/>
      <c r="H290" s="303"/>
      <c r="I290" s="298"/>
      <c r="J290" s="298"/>
      <c r="K290" s="299"/>
      <c r="L290" s="304"/>
      <c r="M290" s="300"/>
      <c r="N290" s="301"/>
      <c r="P290" s="193" t="str">
        <f>IF(R290 = "", "", COUNT(R$4:$R290))</f>
        <v/>
      </c>
      <c r="Q290" s="193" t="str">
        <f t="shared" si="41"/>
        <v/>
      </c>
      <c r="R290" s="194" t="str">
        <f t="shared" si="42"/>
        <v/>
      </c>
      <c r="S290" s="195" t="str">
        <f t="shared" si="44"/>
        <v/>
      </c>
      <c r="T290" s="196" t="str">
        <f t="shared" si="45"/>
        <v/>
      </c>
      <c r="U290" s="197" t="str">
        <f t="shared" si="46"/>
        <v/>
      </c>
      <c r="V290" s="198" t="str">
        <f t="shared" si="43"/>
        <v/>
      </c>
      <c r="W290" s="339" t="str">
        <f t="shared" si="47"/>
        <v/>
      </c>
      <c r="X290" s="341" t="str">
        <f t="shared" si="48"/>
        <v/>
      </c>
      <c r="Y290" s="277"/>
      <c r="AR290" t="str">
        <f t="shared" si="49"/>
        <v/>
      </c>
      <c r="AS290" t="str">
        <f t="shared" si="50"/>
        <v/>
      </c>
    </row>
    <row r="291" spans="1:45">
      <c r="A291" s="294"/>
      <c r="B291" s="295"/>
      <c r="C291" s="296"/>
      <c r="D291" s="296"/>
      <c r="E291" s="296"/>
      <c r="F291" s="296"/>
      <c r="G291" s="297"/>
      <c r="H291" s="303"/>
      <c r="I291" s="298"/>
      <c r="J291" s="298"/>
      <c r="K291" s="299"/>
      <c r="L291" s="304"/>
      <c r="M291" s="300"/>
      <c r="N291" s="301"/>
      <c r="P291" s="193" t="str">
        <f>IF(R291 = "", "", COUNT(R$4:$R291))</f>
        <v/>
      </c>
      <c r="Q291" s="193" t="str">
        <f t="shared" si="41"/>
        <v/>
      </c>
      <c r="R291" s="194" t="str">
        <f t="shared" si="42"/>
        <v/>
      </c>
      <c r="S291" s="195" t="str">
        <f t="shared" si="44"/>
        <v/>
      </c>
      <c r="T291" s="196" t="str">
        <f t="shared" si="45"/>
        <v/>
      </c>
      <c r="U291" s="197" t="str">
        <f t="shared" si="46"/>
        <v/>
      </c>
      <c r="V291" s="198" t="str">
        <f t="shared" si="43"/>
        <v/>
      </c>
      <c r="W291" s="339" t="str">
        <f t="shared" si="47"/>
        <v/>
      </c>
      <c r="X291" s="341" t="str">
        <f t="shared" si="48"/>
        <v/>
      </c>
      <c r="Y291" s="277"/>
      <c r="AR291" t="str">
        <f t="shared" si="49"/>
        <v/>
      </c>
      <c r="AS291" t="str">
        <f t="shared" si="50"/>
        <v/>
      </c>
    </row>
    <row r="292" spans="1:45">
      <c r="A292" s="294"/>
      <c r="B292" s="295"/>
      <c r="C292" s="296"/>
      <c r="D292" s="296"/>
      <c r="E292" s="296"/>
      <c r="F292" s="296"/>
      <c r="G292" s="297"/>
      <c r="H292" s="303"/>
      <c r="I292" s="298"/>
      <c r="J292" s="298"/>
      <c r="K292" s="299"/>
      <c r="L292" s="304"/>
      <c r="M292" s="300"/>
      <c r="N292" s="301"/>
      <c r="P292" s="193" t="str">
        <f>IF(R292 = "", "", COUNT(R$4:$R292))</f>
        <v/>
      </c>
      <c r="Q292" s="193" t="str">
        <f t="shared" si="41"/>
        <v/>
      </c>
      <c r="R292" s="194" t="str">
        <f t="shared" si="42"/>
        <v/>
      </c>
      <c r="S292" s="195" t="str">
        <f t="shared" si="44"/>
        <v/>
      </c>
      <c r="T292" s="196" t="str">
        <f t="shared" si="45"/>
        <v/>
      </c>
      <c r="U292" s="197" t="str">
        <f t="shared" si="46"/>
        <v/>
      </c>
      <c r="V292" s="198" t="str">
        <f t="shared" si="43"/>
        <v/>
      </c>
      <c r="W292" s="339" t="str">
        <f t="shared" si="47"/>
        <v/>
      </c>
      <c r="X292" s="341" t="str">
        <f t="shared" si="48"/>
        <v/>
      </c>
      <c r="Y292" s="277"/>
      <c r="AR292" t="str">
        <f t="shared" si="49"/>
        <v/>
      </c>
      <c r="AS292" t="str">
        <f t="shared" si="50"/>
        <v/>
      </c>
    </row>
    <row r="293" spans="1:45">
      <c r="A293" s="294"/>
      <c r="B293" s="295"/>
      <c r="C293" s="296"/>
      <c r="D293" s="296"/>
      <c r="E293" s="296"/>
      <c r="F293" s="296"/>
      <c r="G293" s="297"/>
      <c r="H293" s="303"/>
      <c r="I293" s="298"/>
      <c r="J293" s="298"/>
      <c r="K293" s="299"/>
      <c r="L293" s="304"/>
      <c r="M293" s="300"/>
      <c r="N293" s="301"/>
      <c r="P293" s="193" t="str">
        <f>IF(R293 = "", "", COUNT(R$4:$R293))</f>
        <v/>
      </c>
      <c r="Q293" s="193" t="str">
        <f t="shared" si="41"/>
        <v/>
      </c>
      <c r="R293" s="194" t="str">
        <f t="shared" si="42"/>
        <v/>
      </c>
      <c r="S293" s="195" t="str">
        <f t="shared" si="44"/>
        <v/>
      </c>
      <c r="T293" s="196" t="str">
        <f t="shared" si="45"/>
        <v/>
      </c>
      <c r="U293" s="197" t="str">
        <f t="shared" si="46"/>
        <v/>
      </c>
      <c r="V293" s="198" t="str">
        <f t="shared" si="43"/>
        <v/>
      </c>
      <c r="W293" s="339" t="str">
        <f t="shared" si="47"/>
        <v/>
      </c>
      <c r="X293" s="341" t="str">
        <f t="shared" si="48"/>
        <v/>
      </c>
      <c r="Y293" s="277"/>
      <c r="AR293" t="str">
        <f t="shared" si="49"/>
        <v/>
      </c>
      <c r="AS293" t="str">
        <f t="shared" si="50"/>
        <v/>
      </c>
    </row>
    <row r="294" spans="1:45">
      <c r="A294" s="294"/>
      <c r="B294" s="295"/>
      <c r="C294" s="296"/>
      <c r="D294" s="296"/>
      <c r="E294" s="296"/>
      <c r="F294" s="296"/>
      <c r="G294" s="297"/>
      <c r="H294" s="303"/>
      <c r="I294" s="298"/>
      <c r="J294" s="298"/>
      <c r="K294" s="299"/>
      <c r="L294" s="304"/>
      <c r="M294" s="300"/>
      <c r="N294" s="301"/>
      <c r="P294" s="193" t="str">
        <f>IF(R294 = "", "", COUNT(R$4:$R294))</f>
        <v/>
      </c>
      <c r="Q294" s="193" t="str">
        <f t="shared" si="41"/>
        <v/>
      </c>
      <c r="R294" s="194" t="str">
        <f t="shared" si="42"/>
        <v/>
      </c>
      <c r="S294" s="195" t="str">
        <f t="shared" si="44"/>
        <v/>
      </c>
      <c r="T294" s="196" t="str">
        <f t="shared" si="45"/>
        <v/>
      </c>
      <c r="U294" s="197" t="str">
        <f t="shared" si="46"/>
        <v/>
      </c>
      <c r="V294" s="198" t="str">
        <f t="shared" si="43"/>
        <v/>
      </c>
      <c r="W294" s="339" t="str">
        <f t="shared" si="47"/>
        <v/>
      </c>
      <c r="X294" s="341" t="str">
        <f t="shared" si="48"/>
        <v/>
      </c>
      <c r="Y294" s="277"/>
      <c r="AR294" t="str">
        <f t="shared" si="49"/>
        <v/>
      </c>
      <c r="AS294" t="str">
        <f t="shared" si="50"/>
        <v/>
      </c>
    </row>
    <row r="295" spans="1:45">
      <c r="A295" s="294"/>
      <c r="B295" s="295"/>
      <c r="C295" s="296"/>
      <c r="D295" s="296"/>
      <c r="E295" s="296"/>
      <c r="F295" s="296"/>
      <c r="G295" s="297"/>
      <c r="H295" s="303"/>
      <c r="I295" s="298"/>
      <c r="J295" s="298"/>
      <c r="K295" s="299"/>
      <c r="L295" s="304"/>
      <c r="M295" s="300"/>
      <c r="N295" s="301"/>
      <c r="P295" s="193" t="str">
        <f>IF(R295 = "", "", COUNT(R$4:$R295))</f>
        <v/>
      </c>
      <c r="Q295" s="193" t="str">
        <f t="shared" si="41"/>
        <v/>
      </c>
      <c r="R295" s="194" t="str">
        <f t="shared" si="42"/>
        <v/>
      </c>
      <c r="S295" s="195" t="str">
        <f t="shared" si="44"/>
        <v/>
      </c>
      <c r="T295" s="196" t="str">
        <f t="shared" si="45"/>
        <v/>
      </c>
      <c r="U295" s="197" t="str">
        <f t="shared" si="46"/>
        <v/>
      </c>
      <c r="V295" s="198" t="str">
        <f t="shared" si="43"/>
        <v/>
      </c>
      <c r="W295" s="339" t="str">
        <f t="shared" si="47"/>
        <v/>
      </c>
      <c r="X295" s="341" t="str">
        <f t="shared" si="48"/>
        <v/>
      </c>
      <c r="Y295" s="277"/>
      <c r="AR295" t="str">
        <f t="shared" si="49"/>
        <v/>
      </c>
      <c r="AS295" t="str">
        <f t="shared" si="50"/>
        <v/>
      </c>
    </row>
    <row r="296" spans="1:45">
      <c r="A296" s="294"/>
      <c r="B296" s="295"/>
      <c r="C296" s="296"/>
      <c r="D296" s="296"/>
      <c r="E296" s="296"/>
      <c r="F296" s="296"/>
      <c r="G296" s="297"/>
      <c r="H296" s="303"/>
      <c r="I296" s="298"/>
      <c r="J296" s="298"/>
      <c r="K296" s="299"/>
      <c r="L296" s="304"/>
      <c r="M296" s="300"/>
      <c r="N296" s="301"/>
      <c r="P296" s="193" t="str">
        <f>IF(R296 = "", "", COUNT(R$4:$R296))</f>
        <v/>
      </c>
      <c r="Q296" s="193" t="str">
        <f t="shared" si="41"/>
        <v/>
      </c>
      <c r="R296" s="194" t="str">
        <f t="shared" si="42"/>
        <v/>
      </c>
      <c r="S296" s="195" t="str">
        <f t="shared" si="44"/>
        <v/>
      </c>
      <c r="T296" s="196" t="str">
        <f t="shared" si="45"/>
        <v/>
      </c>
      <c r="U296" s="197" t="str">
        <f t="shared" si="46"/>
        <v/>
      </c>
      <c r="V296" s="198" t="str">
        <f t="shared" si="43"/>
        <v/>
      </c>
      <c r="W296" s="339" t="str">
        <f t="shared" si="47"/>
        <v/>
      </c>
      <c r="X296" s="341" t="str">
        <f t="shared" si="48"/>
        <v/>
      </c>
      <c r="Y296" s="277"/>
      <c r="AR296" t="str">
        <f t="shared" si="49"/>
        <v/>
      </c>
      <c r="AS296" t="str">
        <f t="shared" si="50"/>
        <v/>
      </c>
    </row>
    <row r="297" spans="1:45">
      <c r="A297" s="294"/>
      <c r="B297" s="295"/>
      <c r="C297" s="296"/>
      <c r="D297" s="296"/>
      <c r="E297" s="296"/>
      <c r="F297" s="296"/>
      <c r="G297" s="297"/>
      <c r="H297" s="303"/>
      <c r="I297" s="298"/>
      <c r="J297" s="298"/>
      <c r="K297" s="299"/>
      <c r="L297" s="304"/>
      <c r="M297" s="300"/>
      <c r="N297" s="301"/>
      <c r="P297" s="193" t="str">
        <f>IF(R297 = "", "", COUNT(R$4:$R297))</f>
        <v/>
      </c>
      <c r="Q297" s="193" t="str">
        <f t="shared" si="41"/>
        <v/>
      </c>
      <c r="R297" s="194" t="str">
        <f t="shared" si="42"/>
        <v/>
      </c>
      <c r="S297" s="195" t="str">
        <f t="shared" si="44"/>
        <v/>
      </c>
      <c r="T297" s="196" t="str">
        <f t="shared" si="45"/>
        <v/>
      </c>
      <c r="U297" s="197" t="str">
        <f t="shared" si="46"/>
        <v/>
      </c>
      <c r="V297" s="198" t="str">
        <f t="shared" si="43"/>
        <v/>
      </c>
      <c r="W297" s="339" t="str">
        <f t="shared" si="47"/>
        <v/>
      </c>
      <c r="X297" s="341" t="str">
        <f t="shared" si="48"/>
        <v/>
      </c>
      <c r="Y297" s="277"/>
      <c r="AR297" t="str">
        <f t="shared" si="49"/>
        <v/>
      </c>
      <c r="AS297" t="str">
        <f t="shared" si="50"/>
        <v/>
      </c>
    </row>
    <row r="298" spans="1:45">
      <c r="A298" s="294"/>
      <c r="B298" s="295"/>
      <c r="C298" s="296"/>
      <c r="D298" s="296"/>
      <c r="E298" s="296"/>
      <c r="F298" s="296"/>
      <c r="G298" s="297"/>
      <c r="H298" s="303"/>
      <c r="I298" s="298"/>
      <c r="J298" s="298"/>
      <c r="K298" s="299"/>
      <c r="L298" s="304"/>
      <c r="M298" s="300"/>
      <c r="N298" s="301"/>
      <c r="P298" s="193" t="str">
        <f>IF(R298 = "", "", COUNT(R$4:$R298))</f>
        <v/>
      </c>
      <c r="Q298" s="193" t="str">
        <f t="shared" si="41"/>
        <v/>
      </c>
      <c r="R298" s="194" t="str">
        <f t="shared" si="42"/>
        <v/>
      </c>
      <c r="S298" s="195" t="str">
        <f t="shared" si="44"/>
        <v/>
      </c>
      <c r="T298" s="196" t="str">
        <f t="shared" si="45"/>
        <v/>
      </c>
      <c r="U298" s="197" t="str">
        <f t="shared" si="46"/>
        <v/>
      </c>
      <c r="V298" s="198" t="str">
        <f t="shared" si="43"/>
        <v/>
      </c>
      <c r="W298" s="339" t="str">
        <f t="shared" si="47"/>
        <v/>
      </c>
      <c r="X298" s="341" t="str">
        <f t="shared" si="48"/>
        <v/>
      </c>
      <c r="Y298" s="277"/>
      <c r="AR298" t="str">
        <f t="shared" si="49"/>
        <v/>
      </c>
      <c r="AS298" t="str">
        <f t="shared" si="50"/>
        <v/>
      </c>
    </row>
    <row r="299" spans="1:45">
      <c r="A299" s="294"/>
      <c r="B299" s="295"/>
      <c r="C299" s="296"/>
      <c r="D299" s="296"/>
      <c r="E299" s="296"/>
      <c r="F299" s="296"/>
      <c r="G299" s="297"/>
      <c r="H299" s="303"/>
      <c r="I299" s="298"/>
      <c r="J299" s="298"/>
      <c r="K299" s="299"/>
      <c r="L299" s="304"/>
      <c r="M299" s="300"/>
      <c r="N299" s="301"/>
      <c r="P299" s="193" t="str">
        <f>IF(R299 = "", "", COUNT(R$4:$R299))</f>
        <v/>
      </c>
      <c r="Q299" s="193" t="str">
        <f t="shared" si="41"/>
        <v/>
      </c>
      <c r="R299" s="194" t="str">
        <f t="shared" si="42"/>
        <v/>
      </c>
      <c r="S299" s="195" t="str">
        <f t="shared" si="44"/>
        <v/>
      </c>
      <c r="T299" s="196" t="str">
        <f t="shared" si="45"/>
        <v/>
      </c>
      <c r="U299" s="197" t="str">
        <f t="shared" si="46"/>
        <v/>
      </c>
      <c r="V299" s="198" t="str">
        <f t="shared" si="43"/>
        <v/>
      </c>
      <c r="W299" s="339" t="str">
        <f t="shared" si="47"/>
        <v/>
      </c>
      <c r="X299" s="341" t="str">
        <f t="shared" si="48"/>
        <v/>
      </c>
      <c r="Y299" s="277"/>
      <c r="AR299" t="str">
        <f t="shared" si="49"/>
        <v/>
      </c>
      <c r="AS299" t="str">
        <f t="shared" si="50"/>
        <v/>
      </c>
    </row>
    <row r="300" spans="1:45">
      <c r="A300" s="294"/>
      <c r="B300" s="295"/>
      <c r="C300" s="296"/>
      <c r="D300" s="296"/>
      <c r="E300" s="296"/>
      <c r="F300" s="296"/>
      <c r="G300" s="297"/>
      <c r="H300" s="303"/>
      <c r="I300" s="298"/>
      <c r="J300" s="298"/>
      <c r="K300" s="299"/>
      <c r="L300" s="304"/>
      <c r="M300" s="300"/>
      <c r="N300" s="301"/>
      <c r="P300" s="193" t="str">
        <f>IF(R300 = "", "", COUNT(R$4:$R300))</f>
        <v/>
      </c>
      <c r="Q300" s="193" t="str">
        <f t="shared" si="41"/>
        <v/>
      </c>
      <c r="R300" s="194" t="str">
        <f t="shared" si="42"/>
        <v/>
      </c>
      <c r="S300" s="195" t="str">
        <f t="shared" si="44"/>
        <v/>
      </c>
      <c r="T300" s="196" t="str">
        <f t="shared" si="45"/>
        <v/>
      </c>
      <c r="U300" s="197" t="str">
        <f t="shared" si="46"/>
        <v/>
      </c>
      <c r="V300" s="198" t="str">
        <f t="shared" si="43"/>
        <v/>
      </c>
      <c r="W300" s="339" t="str">
        <f t="shared" si="47"/>
        <v/>
      </c>
      <c r="X300" s="341" t="str">
        <f t="shared" si="48"/>
        <v/>
      </c>
      <c r="Y300" s="277"/>
      <c r="AR300" t="str">
        <f t="shared" si="49"/>
        <v/>
      </c>
      <c r="AS300" t="str">
        <f t="shared" si="50"/>
        <v/>
      </c>
    </row>
    <row r="301" spans="1:45">
      <c r="A301" s="294"/>
      <c r="B301" s="295"/>
      <c r="C301" s="296"/>
      <c r="D301" s="296"/>
      <c r="E301" s="296"/>
      <c r="F301" s="296"/>
      <c r="G301" s="297"/>
      <c r="H301" s="303"/>
      <c r="I301" s="298"/>
      <c r="J301" s="298"/>
      <c r="K301" s="299"/>
      <c r="L301" s="304"/>
      <c r="M301" s="300"/>
      <c r="N301" s="301"/>
      <c r="P301" s="193" t="str">
        <f>IF(R301 = "", "", COUNT(R$4:$R301))</f>
        <v/>
      </c>
      <c r="Q301" s="193" t="str">
        <f t="shared" si="41"/>
        <v/>
      </c>
      <c r="R301" s="194" t="str">
        <f t="shared" si="42"/>
        <v/>
      </c>
      <c r="S301" s="195" t="str">
        <f t="shared" si="44"/>
        <v/>
      </c>
      <c r="T301" s="196" t="str">
        <f t="shared" si="45"/>
        <v/>
      </c>
      <c r="U301" s="197" t="str">
        <f t="shared" si="46"/>
        <v/>
      </c>
      <c r="V301" s="198" t="str">
        <f t="shared" si="43"/>
        <v/>
      </c>
      <c r="W301" s="339" t="str">
        <f t="shared" si="47"/>
        <v/>
      </c>
      <c r="X301" s="341" t="str">
        <f t="shared" si="48"/>
        <v/>
      </c>
      <c r="Y301" s="277"/>
      <c r="AR301" t="str">
        <f t="shared" si="49"/>
        <v/>
      </c>
      <c r="AS301" t="str">
        <f t="shared" si="50"/>
        <v/>
      </c>
    </row>
    <row r="302" spans="1:45">
      <c r="A302" s="294"/>
      <c r="B302" s="295"/>
      <c r="C302" s="296"/>
      <c r="D302" s="296"/>
      <c r="E302" s="296"/>
      <c r="F302" s="296"/>
      <c r="G302" s="297"/>
      <c r="H302" s="303"/>
      <c r="I302" s="298"/>
      <c r="J302" s="298"/>
      <c r="K302" s="299"/>
      <c r="L302" s="304"/>
      <c r="M302" s="300"/>
      <c r="N302" s="301"/>
      <c r="P302" s="193" t="str">
        <f>IF(R302 = "", "", COUNT(R$4:$R302))</f>
        <v/>
      </c>
      <c r="Q302" s="193" t="str">
        <f t="shared" si="41"/>
        <v/>
      </c>
      <c r="R302" s="194" t="str">
        <f t="shared" si="42"/>
        <v/>
      </c>
      <c r="S302" s="195" t="str">
        <f t="shared" si="44"/>
        <v/>
      </c>
      <c r="T302" s="196" t="str">
        <f t="shared" si="45"/>
        <v/>
      </c>
      <c r="U302" s="197" t="str">
        <f t="shared" si="46"/>
        <v/>
      </c>
      <c r="V302" s="198" t="str">
        <f t="shared" si="43"/>
        <v/>
      </c>
      <c r="W302" s="339" t="str">
        <f t="shared" si="47"/>
        <v/>
      </c>
      <c r="X302" s="341" t="str">
        <f t="shared" si="48"/>
        <v/>
      </c>
      <c r="Y302" s="277"/>
      <c r="AR302" t="str">
        <f t="shared" si="49"/>
        <v/>
      </c>
      <c r="AS302" t="str">
        <f t="shared" si="50"/>
        <v/>
      </c>
    </row>
    <row r="303" spans="1:45">
      <c r="A303" s="294"/>
      <c r="B303" s="295"/>
      <c r="C303" s="296"/>
      <c r="D303" s="296"/>
      <c r="E303" s="296"/>
      <c r="F303" s="296"/>
      <c r="G303" s="297"/>
      <c r="H303" s="303"/>
      <c r="I303" s="298"/>
      <c r="J303" s="298"/>
      <c r="K303" s="299"/>
      <c r="L303" s="304"/>
      <c r="M303" s="300"/>
      <c r="N303" s="301"/>
      <c r="P303" s="193" t="str">
        <f>IF(R303 = "", "", COUNT(R$4:$R303))</f>
        <v/>
      </c>
      <c r="Q303" s="193" t="str">
        <f t="shared" si="41"/>
        <v/>
      </c>
      <c r="R303" s="194" t="str">
        <f t="shared" si="42"/>
        <v/>
      </c>
      <c r="S303" s="195" t="str">
        <f t="shared" si="44"/>
        <v/>
      </c>
      <c r="T303" s="196" t="str">
        <f t="shared" si="45"/>
        <v/>
      </c>
      <c r="U303" s="197" t="str">
        <f t="shared" si="46"/>
        <v/>
      </c>
      <c r="V303" s="198" t="str">
        <f t="shared" si="43"/>
        <v/>
      </c>
      <c r="W303" s="339" t="str">
        <f t="shared" si="47"/>
        <v/>
      </c>
      <c r="X303" s="341" t="str">
        <f t="shared" si="48"/>
        <v/>
      </c>
      <c r="Y303" s="277"/>
      <c r="AR303" t="str">
        <f t="shared" si="49"/>
        <v/>
      </c>
      <c r="AS303" t="str">
        <f t="shared" si="50"/>
        <v/>
      </c>
    </row>
    <row r="304" spans="1:45">
      <c r="A304" s="294"/>
      <c r="B304" s="295"/>
      <c r="C304" s="296"/>
      <c r="D304" s="296"/>
      <c r="E304" s="296"/>
      <c r="F304" s="296"/>
      <c r="G304" s="297"/>
      <c r="H304" s="303"/>
      <c r="I304" s="298"/>
      <c r="J304" s="298"/>
      <c r="K304" s="299"/>
      <c r="L304" s="304"/>
      <c r="M304" s="300"/>
      <c r="N304" s="301"/>
      <c r="P304" s="193" t="str">
        <f>IF(R304 = "", "", COUNT(R$4:$R304))</f>
        <v/>
      </c>
      <c r="Q304" s="193" t="str">
        <f t="shared" si="41"/>
        <v/>
      </c>
      <c r="R304" s="194" t="str">
        <f t="shared" si="42"/>
        <v/>
      </c>
      <c r="S304" s="195" t="str">
        <f t="shared" si="44"/>
        <v/>
      </c>
      <c r="T304" s="196" t="str">
        <f t="shared" si="45"/>
        <v/>
      </c>
      <c r="U304" s="197" t="str">
        <f t="shared" si="46"/>
        <v/>
      </c>
      <c r="V304" s="198" t="str">
        <f t="shared" si="43"/>
        <v/>
      </c>
      <c r="W304" s="339" t="str">
        <f t="shared" si="47"/>
        <v/>
      </c>
      <c r="X304" s="341" t="str">
        <f t="shared" si="48"/>
        <v/>
      </c>
      <c r="Y304" s="277"/>
      <c r="AR304" t="str">
        <f t="shared" si="49"/>
        <v/>
      </c>
      <c r="AS304" t="str">
        <f t="shared" si="50"/>
        <v/>
      </c>
    </row>
    <row r="305" spans="1:45">
      <c r="A305" s="294"/>
      <c r="B305" s="295"/>
      <c r="C305" s="296"/>
      <c r="D305" s="296"/>
      <c r="E305" s="296"/>
      <c r="F305" s="296"/>
      <c r="G305" s="297"/>
      <c r="H305" s="303"/>
      <c r="I305" s="298"/>
      <c r="J305" s="298"/>
      <c r="K305" s="299"/>
      <c r="L305" s="304"/>
      <c r="M305" s="300"/>
      <c r="N305" s="301"/>
      <c r="P305" s="193" t="str">
        <f>IF(R305 = "", "", COUNT(R$4:$R305))</f>
        <v/>
      </c>
      <c r="Q305" s="193" t="str">
        <f t="shared" si="41"/>
        <v/>
      </c>
      <c r="R305" s="194" t="str">
        <f t="shared" si="42"/>
        <v/>
      </c>
      <c r="S305" s="195" t="str">
        <f t="shared" si="44"/>
        <v/>
      </c>
      <c r="T305" s="196" t="str">
        <f t="shared" si="45"/>
        <v/>
      </c>
      <c r="U305" s="197" t="str">
        <f t="shared" si="46"/>
        <v/>
      </c>
      <c r="V305" s="198" t="str">
        <f t="shared" si="43"/>
        <v/>
      </c>
      <c r="W305" s="339" t="str">
        <f t="shared" si="47"/>
        <v/>
      </c>
      <c r="X305" s="341" t="str">
        <f t="shared" si="48"/>
        <v/>
      </c>
      <c r="Y305" s="277"/>
      <c r="AR305" t="str">
        <f t="shared" si="49"/>
        <v/>
      </c>
      <c r="AS305" t="str">
        <f t="shared" si="50"/>
        <v/>
      </c>
    </row>
    <row r="306" spans="1:45">
      <c r="A306" s="294"/>
      <c r="B306" s="295"/>
      <c r="C306" s="296"/>
      <c r="D306" s="296"/>
      <c r="E306" s="296"/>
      <c r="F306" s="296"/>
      <c r="G306" s="297"/>
      <c r="H306" s="303"/>
      <c r="I306" s="298"/>
      <c r="J306" s="298"/>
      <c r="K306" s="299"/>
      <c r="L306" s="304"/>
      <c r="M306" s="300"/>
      <c r="N306" s="301"/>
      <c r="P306" s="193" t="str">
        <f>IF(R306 = "", "", COUNT(R$4:$R306))</f>
        <v/>
      </c>
      <c r="Q306" s="193" t="str">
        <f t="shared" si="41"/>
        <v/>
      </c>
      <c r="R306" s="194" t="str">
        <f t="shared" si="42"/>
        <v/>
      </c>
      <c r="S306" s="195" t="str">
        <f t="shared" si="44"/>
        <v/>
      </c>
      <c r="T306" s="196" t="str">
        <f t="shared" si="45"/>
        <v/>
      </c>
      <c r="U306" s="197" t="str">
        <f t="shared" si="46"/>
        <v/>
      </c>
      <c r="V306" s="198" t="str">
        <f t="shared" si="43"/>
        <v/>
      </c>
      <c r="W306" s="339" t="str">
        <f t="shared" si="47"/>
        <v/>
      </c>
      <c r="X306" s="341" t="str">
        <f t="shared" si="48"/>
        <v/>
      </c>
      <c r="Y306" s="277"/>
      <c r="AR306" t="str">
        <f t="shared" si="49"/>
        <v/>
      </c>
      <c r="AS306" t="str">
        <f t="shared" si="50"/>
        <v/>
      </c>
    </row>
    <row r="307" spans="1:45">
      <c r="A307" s="294"/>
      <c r="B307" s="295"/>
      <c r="C307" s="296"/>
      <c r="D307" s="296"/>
      <c r="E307" s="296"/>
      <c r="F307" s="296"/>
      <c r="G307" s="297"/>
      <c r="H307" s="303"/>
      <c r="I307" s="298"/>
      <c r="J307" s="298"/>
      <c r="K307" s="299"/>
      <c r="L307" s="304"/>
      <c r="M307" s="300"/>
      <c r="N307" s="301"/>
      <c r="P307" s="193" t="str">
        <f>IF(R307 = "", "", COUNT(R$4:$R307))</f>
        <v/>
      </c>
      <c r="Q307" s="193" t="str">
        <f t="shared" si="41"/>
        <v/>
      </c>
      <c r="R307" s="194" t="str">
        <f t="shared" si="42"/>
        <v/>
      </c>
      <c r="S307" s="195" t="str">
        <f t="shared" si="44"/>
        <v/>
      </c>
      <c r="T307" s="196" t="str">
        <f t="shared" si="45"/>
        <v/>
      </c>
      <c r="U307" s="197" t="str">
        <f t="shared" si="46"/>
        <v/>
      </c>
      <c r="V307" s="198" t="str">
        <f t="shared" si="43"/>
        <v/>
      </c>
      <c r="W307" s="339" t="str">
        <f t="shared" si="47"/>
        <v/>
      </c>
      <c r="X307" s="341" t="str">
        <f t="shared" si="48"/>
        <v/>
      </c>
      <c r="Y307" s="277"/>
      <c r="AR307" t="str">
        <f t="shared" si="49"/>
        <v/>
      </c>
      <c r="AS307" t="str">
        <f t="shared" si="50"/>
        <v/>
      </c>
    </row>
    <row r="308" spans="1:45">
      <c r="A308" s="294"/>
      <c r="B308" s="295"/>
      <c r="C308" s="296"/>
      <c r="D308" s="296"/>
      <c r="E308" s="296"/>
      <c r="F308" s="296"/>
      <c r="G308" s="297"/>
      <c r="H308" s="303"/>
      <c r="I308" s="298"/>
      <c r="J308" s="298"/>
      <c r="K308" s="299"/>
      <c r="L308" s="304"/>
      <c r="M308" s="300"/>
      <c r="N308" s="301"/>
      <c r="P308" s="193" t="str">
        <f>IF(R308 = "", "", COUNT(R$4:$R308))</f>
        <v/>
      </c>
      <c r="Q308" s="193" t="str">
        <f t="shared" si="41"/>
        <v/>
      </c>
      <c r="R308" s="194" t="str">
        <f t="shared" si="42"/>
        <v/>
      </c>
      <c r="S308" s="195" t="str">
        <f t="shared" si="44"/>
        <v/>
      </c>
      <c r="T308" s="196" t="str">
        <f t="shared" si="45"/>
        <v/>
      </c>
      <c r="U308" s="197" t="str">
        <f t="shared" si="46"/>
        <v/>
      </c>
      <c r="V308" s="198" t="str">
        <f t="shared" si="43"/>
        <v/>
      </c>
      <c r="W308" s="339" t="str">
        <f t="shared" si="47"/>
        <v/>
      </c>
      <c r="X308" s="341" t="str">
        <f t="shared" si="48"/>
        <v/>
      </c>
      <c r="Y308" s="277"/>
      <c r="AR308" t="str">
        <f t="shared" si="49"/>
        <v/>
      </c>
      <c r="AS308" t="str">
        <f t="shared" si="50"/>
        <v/>
      </c>
    </row>
    <row r="309" spans="1:45">
      <c r="A309" s="294"/>
      <c r="B309" s="295"/>
      <c r="C309" s="296"/>
      <c r="D309" s="296"/>
      <c r="E309" s="296"/>
      <c r="F309" s="296"/>
      <c r="G309" s="297"/>
      <c r="H309" s="303"/>
      <c r="I309" s="298"/>
      <c r="J309" s="298"/>
      <c r="K309" s="299"/>
      <c r="L309" s="304"/>
      <c r="M309" s="300"/>
      <c r="N309" s="301"/>
      <c r="P309" s="193" t="str">
        <f>IF(R309 = "", "", COUNT(R$4:$R309))</f>
        <v/>
      </c>
      <c r="Q309" s="193" t="str">
        <f t="shared" si="41"/>
        <v/>
      </c>
      <c r="R309" s="194" t="str">
        <f t="shared" si="42"/>
        <v/>
      </c>
      <c r="S309" s="195" t="str">
        <f t="shared" si="44"/>
        <v/>
      </c>
      <c r="T309" s="196" t="str">
        <f t="shared" si="45"/>
        <v/>
      </c>
      <c r="U309" s="197" t="str">
        <f t="shared" si="46"/>
        <v/>
      </c>
      <c r="V309" s="198" t="str">
        <f t="shared" si="43"/>
        <v/>
      </c>
      <c r="W309" s="339" t="str">
        <f t="shared" si="47"/>
        <v/>
      </c>
      <c r="X309" s="341" t="str">
        <f t="shared" si="48"/>
        <v/>
      </c>
      <c r="Y309" s="277"/>
      <c r="AR309" t="str">
        <f t="shared" si="49"/>
        <v/>
      </c>
      <c r="AS309" t="str">
        <f t="shared" si="50"/>
        <v/>
      </c>
    </row>
    <row r="310" spans="1:45">
      <c r="A310" s="294"/>
      <c r="B310" s="295"/>
      <c r="C310" s="296"/>
      <c r="D310" s="296"/>
      <c r="E310" s="296"/>
      <c r="F310" s="296"/>
      <c r="G310" s="297"/>
      <c r="H310" s="303"/>
      <c r="I310" s="298"/>
      <c r="J310" s="298"/>
      <c r="K310" s="299"/>
      <c r="L310" s="304"/>
      <c r="M310" s="300"/>
      <c r="N310" s="301"/>
      <c r="P310" s="193" t="str">
        <f>IF(R310 = "", "", COUNT(R$4:$R310))</f>
        <v/>
      </c>
      <c r="Q310" s="193" t="str">
        <f t="shared" si="41"/>
        <v/>
      </c>
      <c r="R310" s="194" t="str">
        <f t="shared" si="42"/>
        <v/>
      </c>
      <c r="S310" s="195" t="str">
        <f t="shared" si="44"/>
        <v/>
      </c>
      <c r="T310" s="196" t="str">
        <f t="shared" si="45"/>
        <v/>
      </c>
      <c r="U310" s="197" t="str">
        <f t="shared" si="46"/>
        <v/>
      </c>
      <c r="V310" s="198" t="str">
        <f t="shared" si="43"/>
        <v/>
      </c>
      <c r="W310" s="339" t="str">
        <f t="shared" si="47"/>
        <v/>
      </c>
      <c r="X310" s="341" t="str">
        <f t="shared" si="48"/>
        <v/>
      </c>
      <c r="Y310" s="277"/>
      <c r="AR310" t="str">
        <f t="shared" si="49"/>
        <v/>
      </c>
      <c r="AS310" t="str">
        <f t="shared" si="50"/>
        <v/>
      </c>
    </row>
    <row r="311" spans="1:45">
      <c r="A311" s="294"/>
      <c r="B311" s="295"/>
      <c r="C311" s="296"/>
      <c r="D311" s="296"/>
      <c r="E311" s="296"/>
      <c r="F311" s="296"/>
      <c r="G311" s="297"/>
      <c r="H311" s="303"/>
      <c r="I311" s="298"/>
      <c r="J311" s="298"/>
      <c r="K311" s="299"/>
      <c r="L311" s="304"/>
      <c r="M311" s="300"/>
      <c r="N311" s="301"/>
      <c r="P311" s="193" t="str">
        <f>IF(R311 = "", "", COUNT(R$4:$R311))</f>
        <v/>
      </c>
      <c r="Q311" s="193" t="str">
        <f t="shared" si="41"/>
        <v/>
      </c>
      <c r="R311" s="194" t="str">
        <f t="shared" si="42"/>
        <v/>
      </c>
      <c r="S311" s="195" t="str">
        <f t="shared" si="44"/>
        <v/>
      </c>
      <c r="T311" s="196" t="str">
        <f t="shared" si="45"/>
        <v/>
      </c>
      <c r="U311" s="197" t="str">
        <f t="shared" si="46"/>
        <v/>
      </c>
      <c r="V311" s="198" t="str">
        <f t="shared" si="43"/>
        <v/>
      </c>
      <c r="W311" s="339" t="str">
        <f t="shared" si="47"/>
        <v/>
      </c>
      <c r="X311" s="341" t="str">
        <f t="shared" si="48"/>
        <v/>
      </c>
      <c r="Y311" s="277"/>
      <c r="AR311" t="str">
        <f t="shared" si="49"/>
        <v/>
      </c>
      <c r="AS311" t="str">
        <f t="shared" si="50"/>
        <v/>
      </c>
    </row>
    <row r="312" spans="1:45">
      <c r="A312" s="294"/>
      <c r="B312" s="295"/>
      <c r="C312" s="296"/>
      <c r="D312" s="296"/>
      <c r="E312" s="296"/>
      <c r="F312" s="296"/>
      <c r="G312" s="297"/>
      <c r="H312" s="303"/>
      <c r="I312" s="298"/>
      <c r="J312" s="298"/>
      <c r="K312" s="299"/>
      <c r="L312" s="304"/>
      <c r="M312" s="300"/>
      <c r="N312" s="301"/>
      <c r="P312" s="193" t="str">
        <f>IF(R312 = "", "", COUNT(R$4:$R312))</f>
        <v/>
      </c>
      <c r="Q312" s="193" t="str">
        <f t="shared" si="41"/>
        <v/>
      </c>
      <c r="R312" s="194" t="str">
        <f t="shared" si="42"/>
        <v/>
      </c>
      <c r="S312" s="195" t="str">
        <f t="shared" si="44"/>
        <v/>
      </c>
      <c r="T312" s="196" t="str">
        <f t="shared" si="45"/>
        <v/>
      </c>
      <c r="U312" s="197" t="str">
        <f t="shared" si="46"/>
        <v/>
      </c>
      <c r="V312" s="198" t="str">
        <f t="shared" si="43"/>
        <v/>
      </c>
      <c r="W312" s="339" t="str">
        <f t="shared" si="47"/>
        <v/>
      </c>
      <c r="X312" s="341" t="str">
        <f t="shared" si="48"/>
        <v/>
      </c>
      <c r="Y312" s="277"/>
      <c r="AR312" t="str">
        <f t="shared" si="49"/>
        <v/>
      </c>
      <c r="AS312" t="str">
        <f t="shared" si="50"/>
        <v/>
      </c>
    </row>
    <row r="313" spans="1:45">
      <c r="A313" s="294"/>
      <c r="B313" s="295"/>
      <c r="C313" s="296"/>
      <c r="D313" s="296"/>
      <c r="E313" s="296"/>
      <c r="F313" s="296"/>
      <c r="G313" s="297"/>
      <c r="H313" s="303"/>
      <c r="I313" s="298"/>
      <c r="J313" s="298"/>
      <c r="K313" s="299"/>
      <c r="L313" s="304"/>
      <c r="M313" s="300"/>
      <c r="N313" s="301"/>
      <c r="P313" s="193" t="str">
        <f>IF(R313 = "", "", COUNT(R$4:$R313))</f>
        <v/>
      </c>
      <c r="Q313" s="193" t="str">
        <f t="shared" si="41"/>
        <v/>
      </c>
      <c r="R313" s="194" t="str">
        <f t="shared" si="42"/>
        <v/>
      </c>
      <c r="S313" s="195" t="str">
        <f t="shared" si="44"/>
        <v/>
      </c>
      <c r="T313" s="196" t="str">
        <f t="shared" si="45"/>
        <v/>
      </c>
      <c r="U313" s="197" t="str">
        <f t="shared" si="46"/>
        <v/>
      </c>
      <c r="V313" s="198" t="str">
        <f t="shared" si="43"/>
        <v/>
      </c>
      <c r="W313" s="339" t="str">
        <f t="shared" si="47"/>
        <v/>
      </c>
      <c r="X313" s="341" t="str">
        <f t="shared" si="48"/>
        <v/>
      </c>
      <c r="Y313" s="277"/>
      <c r="AR313" t="str">
        <f t="shared" si="49"/>
        <v/>
      </c>
      <c r="AS313" t="str">
        <f t="shared" si="50"/>
        <v/>
      </c>
    </row>
    <row r="314" spans="1:45">
      <c r="A314" s="294"/>
      <c r="B314" s="295"/>
      <c r="C314" s="296"/>
      <c r="D314" s="296"/>
      <c r="E314" s="296"/>
      <c r="F314" s="296"/>
      <c r="G314" s="297"/>
      <c r="H314" s="303"/>
      <c r="I314" s="298"/>
      <c r="J314" s="298"/>
      <c r="K314" s="299"/>
      <c r="L314" s="304"/>
      <c r="M314" s="300"/>
      <c r="N314" s="301"/>
      <c r="P314" s="193" t="str">
        <f>IF(R314 = "", "", COUNT(R$4:$R314))</f>
        <v/>
      </c>
      <c r="Q314" s="193" t="str">
        <f t="shared" si="41"/>
        <v/>
      </c>
      <c r="R314" s="194" t="str">
        <f t="shared" si="42"/>
        <v/>
      </c>
      <c r="S314" s="195" t="str">
        <f t="shared" si="44"/>
        <v/>
      </c>
      <c r="T314" s="196" t="str">
        <f t="shared" si="45"/>
        <v/>
      </c>
      <c r="U314" s="197" t="str">
        <f t="shared" si="46"/>
        <v/>
      </c>
      <c r="V314" s="198" t="str">
        <f t="shared" si="43"/>
        <v/>
      </c>
      <c r="W314" s="339" t="str">
        <f t="shared" si="47"/>
        <v/>
      </c>
      <c r="X314" s="341" t="str">
        <f t="shared" si="48"/>
        <v/>
      </c>
      <c r="Y314" s="277"/>
      <c r="AR314" t="str">
        <f t="shared" si="49"/>
        <v/>
      </c>
      <c r="AS314" t="str">
        <f t="shared" si="50"/>
        <v/>
      </c>
    </row>
    <row r="315" spans="1:45">
      <c r="A315" s="294"/>
      <c r="B315" s="295"/>
      <c r="C315" s="296"/>
      <c r="D315" s="296"/>
      <c r="E315" s="296"/>
      <c r="F315" s="296"/>
      <c r="G315" s="297"/>
      <c r="H315" s="303"/>
      <c r="I315" s="298"/>
      <c r="J315" s="298"/>
      <c r="K315" s="299"/>
      <c r="L315" s="304"/>
      <c r="M315" s="300"/>
      <c r="N315" s="301"/>
      <c r="P315" s="193" t="str">
        <f>IF(R315 = "", "", COUNT(R$4:$R315))</f>
        <v/>
      </c>
      <c r="Q315" s="193" t="str">
        <f t="shared" si="41"/>
        <v/>
      </c>
      <c r="R315" s="194" t="str">
        <f t="shared" si="42"/>
        <v/>
      </c>
      <c r="S315" s="195" t="str">
        <f t="shared" si="44"/>
        <v/>
      </c>
      <c r="T315" s="196" t="str">
        <f t="shared" si="45"/>
        <v/>
      </c>
      <c r="U315" s="197" t="str">
        <f t="shared" si="46"/>
        <v/>
      </c>
      <c r="V315" s="198" t="str">
        <f t="shared" si="43"/>
        <v/>
      </c>
      <c r="W315" s="339" t="str">
        <f t="shared" si="47"/>
        <v/>
      </c>
      <c r="X315" s="341" t="str">
        <f t="shared" si="48"/>
        <v/>
      </c>
      <c r="Y315" s="277"/>
      <c r="AR315" t="str">
        <f t="shared" si="49"/>
        <v/>
      </c>
      <c r="AS315" t="str">
        <f t="shared" si="50"/>
        <v/>
      </c>
    </row>
    <row r="316" spans="1:45">
      <c r="A316" s="294"/>
      <c r="B316" s="295"/>
      <c r="C316" s="296"/>
      <c r="D316" s="296"/>
      <c r="E316" s="296"/>
      <c r="F316" s="296"/>
      <c r="G316" s="297"/>
      <c r="H316" s="303"/>
      <c r="I316" s="298"/>
      <c r="J316" s="298"/>
      <c r="K316" s="299"/>
      <c r="L316" s="304"/>
      <c r="M316" s="300"/>
      <c r="N316" s="301"/>
      <c r="P316" s="193" t="str">
        <f>IF(R316 = "", "", COUNT(R$4:$R316))</f>
        <v/>
      </c>
      <c r="Q316" s="193" t="str">
        <f t="shared" si="41"/>
        <v/>
      </c>
      <c r="R316" s="194" t="str">
        <f t="shared" si="42"/>
        <v/>
      </c>
      <c r="S316" s="195" t="str">
        <f t="shared" si="44"/>
        <v/>
      </c>
      <c r="T316" s="196" t="str">
        <f t="shared" si="45"/>
        <v/>
      </c>
      <c r="U316" s="197" t="str">
        <f t="shared" si="46"/>
        <v/>
      </c>
      <c r="V316" s="198" t="str">
        <f t="shared" si="43"/>
        <v/>
      </c>
      <c r="W316" s="339" t="str">
        <f t="shared" si="47"/>
        <v/>
      </c>
      <c r="X316" s="341" t="str">
        <f t="shared" si="48"/>
        <v/>
      </c>
      <c r="Y316" s="277"/>
      <c r="AR316" t="str">
        <f t="shared" si="49"/>
        <v/>
      </c>
      <c r="AS316" t="str">
        <f t="shared" si="50"/>
        <v/>
      </c>
    </row>
    <row r="317" spans="1:45">
      <c r="A317" s="294"/>
      <c r="B317" s="295"/>
      <c r="C317" s="296"/>
      <c r="D317" s="296"/>
      <c r="E317" s="296"/>
      <c r="F317" s="296"/>
      <c r="G317" s="297"/>
      <c r="H317" s="303"/>
      <c r="I317" s="298"/>
      <c r="J317" s="298"/>
      <c r="K317" s="299"/>
      <c r="L317" s="304"/>
      <c r="M317" s="300"/>
      <c r="N317" s="301"/>
      <c r="P317" s="193" t="str">
        <f>IF(R317 = "", "", COUNT(R$4:$R317))</f>
        <v/>
      </c>
      <c r="Q317" s="193" t="str">
        <f t="shared" si="41"/>
        <v/>
      </c>
      <c r="R317" s="194" t="str">
        <f t="shared" si="42"/>
        <v/>
      </c>
      <c r="S317" s="195" t="str">
        <f t="shared" si="44"/>
        <v/>
      </c>
      <c r="T317" s="196" t="str">
        <f t="shared" si="45"/>
        <v/>
      </c>
      <c r="U317" s="197" t="str">
        <f t="shared" si="46"/>
        <v/>
      </c>
      <c r="V317" s="198" t="str">
        <f t="shared" si="43"/>
        <v/>
      </c>
      <c r="W317" s="339" t="str">
        <f t="shared" si="47"/>
        <v/>
      </c>
      <c r="X317" s="341" t="str">
        <f t="shared" si="48"/>
        <v/>
      </c>
      <c r="Y317" s="277"/>
      <c r="AR317" t="str">
        <f t="shared" si="49"/>
        <v/>
      </c>
      <c r="AS317" t="str">
        <f t="shared" si="50"/>
        <v/>
      </c>
    </row>
    <row r="318" spans="1:45">
      <c r="A318" s="294"/>
      <c r="B318" s="295"/>
      <c r="C318" s="296"/>
      <c r="D318" s="296"/>
      <c r="E318" s="296"/>
      <c r="F318" s="296"/>
      <c r="G318" s="297"/>
      <c r="H318" s="303"/>
      <c r="I318" s="298"/>
      <c r="J318" s="298"/>
      <c r="K318" s="299"/>
      <c r="L318" s="304"/>
      <c r="M318" s="300"/>
      <c r="N318" s="301"/>
      <c r="P318" s="193" t="str">
        <f>IF(R318 = "", "", COUNT(R$4:$R318))</f>
        <v/>
      </c>
      <c r="Q318" s="193" t="str">
        <f t="shared" si="41"/>
        <v/>
      </c>
      <c r="R318" s="194" t="str">
        <f t="shared" si="42"/>
        <v/>
      </c>
      <c r="S318" s="195" t="str">
        <f t="shared" si="44"/>
        <v/>
      </c>
      <c r="T318" s="196" t="str">
        <f t="shared" si="45"/>
        <v/>
      </c>
      <c r="U318" s="197" t="str">
        <f t="shared" si="46"/>
        <v/>
      </c>
      <c r="V318" s="198" t="str">
        <f t="shared" si="43"/>
        <v/>
      </c>
      <c r="W318" s="339" t="str">
        <f t="shared" si="47"/>
        <v/>
      </c>
      <c r="X318" s="341" t="str">
        <f t="shared" si="48"/>
        <v/>
      </c>
      <c r="Y318" s="277"/>
      <c r="AR318" t="str">
        <f t="shared" si="49"/>
        <v/>
      </c>
      <c r="AS318" t="str">
        <f t="shared" si="50"/>
        <v/>
      </c>
    </row>
    <row r="319" spans="1:45">
      <c r="A319" s="294"/>
      <c r="B319" s="295"/>
      <c r="C319" s="296"/>
      <c r="D319" s="296"/>
      <c r="E319" s="296"/>
      <c r="F319" s="296"/>
      <c r="G319" s="297"/>
      <c r="H319" s="303"/>
      <c r="I319" s="298"/>
      <c r="J319" s="298"/>
      <c r="K319" s="299"/>
      <c r="L319" s="304"/>
      <c r="M319" s="300"/>
      <c r="N319" s="301"/>
      <c r="P319" s="193" t="str">
        <f>IF(R319 = "", "", COUNT(R$4:$R319))</f>
        <v/>
      </c>
      <c r="Q319" s="193" t="str">
        <f t="shared" si="41"/>
        <v/>
      </c>
      <c r="R319" s="194" t="str">
        <f t="shared" si="42"/>
        <v/>
      </c>
      <c r="S319" s="195" t="str">
        <f t="shared" si="44"/>
        <v/>
      </c>
      <c r="T319" s="196" t="str">
        <f t="shared" si="45"/>
        <v/>
      </c>
      <c r="U319" s="197" t="str">
        <f t="shared" si="46"/>
        <v/>
      </c>
      <c r="V319" s="198" t="str">
        <f t="shared" si="43"/>
        <v/>
      </c>
      <c r="W319" s="339" t="str">
        <f t="shared" si="47"/>
        <v/>
      </c>
      <c r="X319" s="341" t="str">
        <f t="shared" si="48"/>
        <v/>
      </c>
      <c r="Y319" s="277"/>
      <c r="AR319" t="str">
        <f t="shared" si="49"/>
        <v/>
      </c>
      <c r="AS319" t="str">
        <f t="shared" si="50"/>
        <v/>
      </c>
    </row>
    <row r="320" spans="1:45">
      <c r="A320" s="294"/>
      <c r="B320" s="295"/>
      <c r="C320" s="296"/>
      <c r="D320" s="296"/>
      <c r="E320" s="296"/>
      <c r="F320" s="296"/>
      <c r="G320" s="297"/>
      <c r="H320" s="303"/>
      <c r="I320" s="298"/>
      <c r="J320" s="298"/>
      <c r="K320" s="299"/>
      <c r="L320" s="304"/>
      <c r="M320" s="300"/>
      <c r="N320" s="301"/>
      <c r="P320" s="193" t="str">
        <f>IF(R320 = "", "", COUNT(R$4:$R320))</f>
        <v/>
      </c>
      <c r="Q320" s="193" t="str">
        <f t="shared" si="41"/>
        <v/>
      </c>
      <c r="R320" s="194" t="str">
        <f t="shared" si="42"/>
        <v/>
      </c>
      <c r="S320" s="195" t="str">
        <f t="shared" si="44"/>
        <v/>
      </c>
      <c r="T320" s="196" t="str">
        <f t="shared" si="45"/>
        <v/>
      </c>
      <c r="U320" s="197" t="str">
        <f t="shared" si="46"/>
        <v/>
      </c>
      <c r="V320" s="198" t="str">
        <f t="shared" si="43"/>
        <v/>
      </c>
      <c r="W320" s="339" t="str">
        <f t="shared" si="47"/>
        <v/>
      </c>
      <c r="X320" s="341" t="str">
        <f t="shared" si="48"/>
        <v/>
      </c>
      <c r="Y320" s="277"/>
      <c r="AR320" t="str">
        <f t="shared" si="49"/>
        <v/>
      </c>
      <c r="AS320" t="str">
        <f t="shared" si="50"/>
        <v/>
      </c>
    </row>
    <row r="321" spans="1:45">
      <c r="A321" s="294"/>
      <c r="B321" s="295"/>
      <c r="C321" s="296"/>
      <c r="D321" s="296"/>
      <c r="E321" s="296"/>
      <c r="F321" s="296"/>
      <c r="G321" s="297"/>
      <c r="H321" s="303"/>
      <c r="I321" s="298"/>
      <c r="J321" s="298"/>
      <c r="K321" s="299"/>
      <c r="L321" s="304"/>
      <c r="M321" s="300"/>
      <c r="N321" s="301"/>
      <c r="P321" s="193" t="str">
        <f>IF(R321 = "", "", COUNT(R$4:$R321))</f>
        <v/>
      </c>
      <c r="Q321" s="193" t="str">
        <f t="shared" si="41"/>
        <v/>
      </c>
      <c r="R321" s="194" t="str">
        <f t="shared" si="42"/>
        <v/>
      </c>
      <c r="S321" s="195" t="str">
        <f t="shared" si="44"/>
        <v/>
      </c>
      <c r="T321" s="196" t="str">
        <f t="shared" si="45"/>
        <v/>
      </c>
      <c r="U321" s="197" t="str">
        <f t="shared" si="46"/>
        <v/>
      </c>
      <c r="V321" s="198" t="str">
        <f t="shared" si="43"/>
        <v/>
      </c>
      <c r="W321" s="339" t="str">
        <f t="shared" si="47"/>
        <v/>
      </c>
      <c r="X321" s="341" t="str">
        <f t="shared" si="48"/>
        <v/>
      </c>
      <c r="Y321" s="277"/>
      <c r="AR321" t="str">
        <f t="shared" si="49"/>
        <v/>
      </c>
      <c r="AS321" t="str">
        <f t="shared" si="50"/>
        <v/>
      </c>
    </row>
    <row r="322" spans="1:45">
      <c r="A322" s="294"/>
      <c r="B322" s="295"/>
      <c r="C322" s="296"/>
      <c r="D322" s="296"/>
      <c r="E322" s="296"/>
      <c r="F322" s="296"/>
      <c r="G322" s="297"/>
      <c r="H322" s="303"/>
      <c r="I322" s="298"/>
      <c r="J322" s="298"/>
      <c r="K322" s="299"/>
      <c r="L322" s="304"/>
      <c r="M322" s="300"/>
      <c r="N322" s="301"/>
      <c r="P322" s="193" t="str">
        <f>IF(R322 = "", "", COUNT(R$4:$R322))</f>
        <v/>
      </c>
      <c r="Q322" s="193" t="str">
        <f t="shared" si="41"/>
        <v/>
      </c>
      <c r="R322" s="194" t="str">
        <f t="shared" si="42"/>
        <v/>
      </c>
      <c r="S322" s="195" t="str">
        <f t="shared" si="44"/>
        <v/>
      </c>
      <c r="T322" s="196" t="str">
        <f t="shared" si="45"/>
        <v/>
      </c>
      <c r="U322" s="197" t="str">
        <f t="shared" si="46"/>
        <v/>
      </c>
      <c r="V322" s="198" t="str">
        <f t="shared" si="43"/>
        <v/>
      </c>
      <c r="W322" s="339" t="str">
        <f t="shared" si="47"/>
        <v/>
      </c>
      <c r="X322" s="341" t="str">
        <f t="shared" si="48"/>
        <v/>
      </c>
      <c r="Y322" s="277"/>
      <c r="AR322" t="str">
        <f t="shared" si="49"/>
        <v/>
      </c>
      <c r="AS322" t="str">
        <f t="shared" si="50"/>
        <v/>
      </c>
    </row>
    <row r="323" spans="1:45">
      <c r="A323" s="294"/>
      <c r="B323" s="295"/>
      <c r="C323" s="296"/>
      <c r="D323" s="296"/>
      <c r="E323" s="296"/>
      <c r="F323" s="296"/>
      <c r="G323" s="297"/>
      <c r="H323" s="303"/>
      <c r="I323" s="298"/>
      <c r="J323" s="298"/>
      <c r="K323" s="299"/>
      <c r="L323" s="304"/>
      <c r="M323" s="300"/>
      <c r="N323" s="301"/>
      <c r="P323" s="193" t="str">
        <f>IF(R323 = "", "", COUNT(R$4:$R323))</f>
        <v/>
      </c>
      <c r="Q323" s="193" t="str">
        <f t="shared" si="41"/>
        <v/>
      </c>
      <c r="R323" s="194" t="str">
        <f t="shared" si="42"/>
        <v/>
      </c>
      <c r="S323" s="195" t="str">
        <f t="shared" si="44"/>
        <v/>
      </c>
      <c r="T323" s="196" t="str">
        <f t="shared" si="45"/>
        <v/>
      </c>
      <c r="U323" s="197" t="str">
        <f t="shared" si="46"/>
        <v/>
      </c>
      <c r="V323" s="198" t="str">
        <f t="shared" si="43"/>
        <v/>
      </c>
      <c r="W323" s="339" t="str">
        <f t="shared" si="47"/>
        <v/>
      </c>
      <c r="X323" s="341" t="str">
        <f t="shared" si="48"/>
        <v/>
      </c>
      <c r="Y323" s="277"/>
      <c r="AR323" t="str">
        <f t="shared" si="49"/>
        <v/>
      </c>
      <c r="AS323" t="str">
        <f t="shared" si="50"/>
        <v/>
      </c>
    </row>
    <row r="324" spans="1:45">
      <c r="A324" s="294"/>
      <c r="B324" s="295"/>
      <c r="C324" s="296"/>
      <c r="D324" s="296"/>
      <c r="E324" s="296"/>
      <c r="F324" s="296"/>
      <c r="G324" s="297"/>
      <c r="H324" s="303"/>
      <c r="I324" s="298"/>
      <c r="J324" s="298"/>
      <c r="K324" s="299"/>
      <c r="L324" s="304"/>
      <c r="M324" s="300"/>
      <c r="N324" s="301"/>
      <c r="P324" s="193" t="str">
        <f>IF(R324 = "", "", COUNT(R$4:$R324))</f>
        <v/>
      </c>
      <c r="Q324" s="193" t="str">
        <f t="shared" ref="Q324:Q387" si="51">IF(C324 &gt; 0, YEAR(B324), "")</f>
        <v/>
      </c>
      <c r="R324" s="194" t="str">
        <f t="shared" ref="R324:R387" si="52">IF(A324="", "", IF(G324="",1,IF(G324="O",1,IF(G324="C",8.4,IF(G324="B",8.4,IF(G324="A",76.8,IF(G324="K",76.8,"ERR")))))))</f>
        <v/>
      </c>
      <c r="S324" s="195" t="str">
        <f t="shared" si="44"/>
        <v/>
      </c>
      <c r="T324" s="196" t="str">
        <f t="shared" si="45"/>
        <v/>
      </c>
      <c r="U324" s="197" t="str">
        <f t="shared" si="46"/>
        <v/>
      </c>
      <c r="V324" s="198" t="str">
        <f t="shared" ref="V324:V387" si="53">IF(IF(M324&lt;&gt;"",G324,"")=0, "O", IF(M324&lt;&gt;"",G324,""))</f>
        <v/>
      </c>
      <c r="W324" s="339" t="str">
        <f t="shared" si="47"/>
        <v/>
      </c>
      <c r="X324" s="341" t="str">
        <f t="shared" si="48"/>
        <v/>
      </c>
      <c r="Y324" s="277"/>
      <c r="AR324" t="str">
        <f t="shared" si="49"/>
        <v/>
      </c>
      <c r="AS324" t="str">
        <f t="shared" si="50"/>
        <v/>
      </c>
    </row>
    <row r="325" spans="1:45">
      <c r="A325" s="294"/>
      <c r="B325" s="295"/>
      <c r="C325" s="296"/>
      <c r="D325" s="296"/>
      <c r="E325" s="296"/>
      <c r="F325" s="296"/>
      <c r="G325" s="297"/>
      <c r="H325" s="303"/>
      <c r="I325" s="298"/>
      <c r="J325" s="298"/>
      <c r="K325" s="299"/>
      <c r="L325" s="304"/>
      <c r="M325" s="300"/>
      <c r="N325" s="301"/>
      <c r="P325" s="193" t="str">
        <f>IF(R325 = "", "", COUNT(R$4:$R325))</f>
        <v/>
      </c>
      <c r="Q325" s="193" t="str">
        <f t="shared" si="51"/>
        <v/>
      </c>
      <c r="R325" s="194" t="str">
        <f t="shared" si="52"/>
        <v/>
      </c>
      <c r="S325" s="195" t="str">
        <f t="shared" ref="S325:S388" si="54">IF(L325&lt;&gt;"",R325,"")</f>
        <v/>
      </c>
      <c r="T325" s="196" t="str">
        <f t="shared" ref="T325:T388" si="55">IF(IF(L325&lt;&gt;"",G325,"")=0, "O", IF(L325&lt;&gt;"",G325,""))</f>
        <v/>
      </c>
      <c r="U325" s="197" t="str">
        <f t="shared" ref="U325:U388" si="56">IF(M325&lt;&gt;"",R325,"")</f>
        <v/>
      </c>
      <c r="V325" s="198" t="str">
        <f t="shared" si="53"/>
        <v/>
      </c>
      <c r="W325" s="339" t="str">
        <f t="shared" ref="W325:W388" si="57">IF(N325&lt;&gt;"",R325,"")</f>
        <v/>
      </c>
      <c r="X325" s="341" t="str">
        <f t="shared" ref="X325:X388" si="58">IF(IF(N325&lt;&gt;"",G325,"")=0, "O", IF(N325&lt;&gt;"",G325,""))</f>
        <v/>
      </c>
      <c r="Y325" s="277"/>
      <c r="AR325" t="str">
        <f t="shared" ref="AR325:AR388" si="59">IF(P325&gt;0, P325, "")</f>
        <v/>
      </c>
      <c r="AS325" t="str">
        <f t="shared" ref="AS325:AS388" si="60">IF(OR(L325="Y",M325="Y",N325="Y"),"Y","")</f>
        <v/>
      </c>
    </row>
    <row r="326" spans="1:45">
      <c r="A326" s="294"/>
      <c r="B326" s="295"/>
      <c r="C326" s="296"/>
      <c r="D326" s="296"/>
      <c r="E326" s="296"/>
      <c r="F326" s="296"/>
      <c r="G326" s="297"/>
      <c r="H326" s="303"/>
      <c r="I326" s="298"/>
      <c r="J326" s="298"/>
      <c r="K326" s="299"/>
      <c r="L326" s="304"/>
      <c r="M326" s="300"/>
      <c r="N326" s="301"/>
      <c r="P326" s="193" t="str">
        <f>IF(R326 = "", "", COUNT(R$4:$R326))</f>
        <v/>
      </c>
      <c r="Q326" s="193" t="str">
        <f t="shared" si="51"/>
        <v/>
      </c>
      <c r="R326" s="194" t="str">
        <f t="shared" si="52"/>
        <v/>
      </c>
      <c r="S326" s="195" t="str">
        <f t="shared" si="54"/>
        <v/>
      </c>
      <c r="T326" s="196" t="str">
        <f t="shared" si="55"/>
        <v/>
      </c>
      <c r="U326" s="197" t="str">
        <f t="shared" si="56"/>
        <v/>
      </c>
      <c r="V326" s="198" t="str">
        <f t="shared" si="53"/>
        <v/>
      </c>
      <c r="W326" s="339" t="str">
        <f t="shared" si="57"/>
        <v/>
      </c>
      <c r="X326" s="341" t="str">
        <f t="shared" si="58"/>
        <v/>
      </c>
      <c r="Y326" s="277"/>
      <c r="AR326" t="str">
        <f t="shared" si="59"/>
        <v/>
      </c>
      <c r="AS326" t="str">
        <f t="shared" si="60"/>
        <v/>
      </c>
    </row>
    <row r="327" spans="1:45">
      <c r="A327" s="294"/>
      <c r="B327" s="295"/>
      <c r="C327" s="296"/>
      <c r="D327" s="296"/>
      <c r="E327" s="296"/>
      <c r="F327" s="296"/>
      <c r="G327" s="297"/>
      <c r="H327" s="303"/>
      <c r="I327" s="298"/>
      <c r="J327" s="298"/>
      <c r="K327" s="299"/>
      <c r="L327" s="304"/>
      <c r="M327" s="300"/>
      <c r="N327" s="301"/>
      <c r="P327" s="193" t="str">
        <f>IF(R327 = "", "", COUNT(R$4:$R327))</f>
        <v/>
      </c>
      <c r="Q327" s="193" t="str">
        <f t="shared" si="51"/>
        <v/>
      </c>
      <c r="R327" s="194" t="str">
        <f t="shared" si="52"/>
        <v/>
      </c>
      <c r="S327" s="195" t="str">
        <f t="shared" si="54"/>
        <v/>
      </c>
      <c r="T327" s="196" t="str">
        <f t="shared" si="55"/>
        <v/>
      </c>
      <c r="U327" s="197" t="str">
        <f t="shared" si="56"/>
        <v/>
      </c>
      <c r="V327" s="198" t="str">
        <f t="shared" si="53"/>
        <v/>
      </c>
      <c r="W327" s="339" t="str">
        <f t="shared" si="57"/>
        <v/>
      </c>
      <c r="X327" s="341" t="str">
        <f t="shared" si="58"/>
        <v/>
      </c>
      <c r="Y327" s="277"/>
      <c r="AR327" t="str">
        <f t="shared" si="59"/>
        <v/>
      </c>
      <c r="AS327" t="str">
        <f t="shared" si="60"/>
        <v/>
      </c>
    </row>
    <row r="328" spans="1:45">
      <c r="A328" s="294"/>
      <c r="B328" s="295"/>
      <c r="C328" s="296"/>
      <c r="D328" s="296"/>
      <c r="E328" s="296"/>
      <c r="F328" s="296"/>
      <c r="G328" s="297"/>
      <c r="H328" s="303"/>
      <c r="I328" s="298"/>
      <c r="J328" s="298"/>
      <c r="K328" s="299"/>
      <c r="L328" s="304"/>
      <c r="M328" s="300"/>
      <c r="N328" s="301"/>
      <c r="P328" s="193" t="str">
        <f>IF(R328 = "", "", COUNT(R$4:$R328))</f>
        <v/>
      </c>
      <c r="Q328" s="193" t="str">
        <f t="shared" si="51"/>
        <v/>
      </c>
      <c r="R328" s="194" t="str">
        <f t="shared" si="52"/>
        <v/>
      </c>
      <c r="S328" s="195" t="str">
        <f t="shared" si="54"/>
        <v/>
      </c>
      <c r="T328" s="196" t="str">
        <f t="shared" si="55"/>
        <v/>
      </c>
      <c r="U328" s="197" t="str">
        <f t="shared" si="56"/>
        <v/>
      </c>
      <c r="V328" s="198" t="str">
        <f t="shared" si="53"/>
        <v/>
      </c>
      <c r="W328" s="339" t="str">
        <f t="shared" si="57"/>
        <v/>
      </c>
      <c r="X328" s="341" t="str">
        <f t="shared" si="58"/>
        <v/>
      </c>
      <c r="Y328" s="277"/>
      <c r="AR328" t="str">
        <f t="shared" si="59"/>
        <v/>
      </c>
      <c r="AS328" t="str">
        <f t="shared" si="60"/>
        <v/>
      </c>
    </row>
    <row r="329" spans="1:45">
      <c r="A329" s="294"/>
      <c r="B329" s="295"/>
      <c r="C329" s="296"/>
      <c r="D329" s="296"/>
      <c r="E329" s="296"/>
      <c r="F329" s="296"/>
      <c r="G329" s="297"/>
      <c r="H329" s="303"/>
      <c r="I329" s="298"/>
      <c r="J329" s="298"/>
      <c r="K329" s="299"/>
      <c r="L329" s="304"/>
      <c r="M329" s="300"/>
      <c r="N329" s="301"/>
      <c r="P329" s="193" t="str">
        <f>IF(R329 = "", "", COUNT(R$4:$R329))</f>
        <v/>
      </c>
      <c r="Q329" s="193" t="str">
        <f t="shared" si="51"/>
        <v/>
      </c>
      <c r="R329" s="194" t="str">
        <f t="shared" si="52"/>
        <v/>
      </c>
      <c r="S329" s="195" t="str">
        <f t="shared" si="54"/>
        <v/>
      </c>
      <c r="T329" s="196" t="str">
        <f t="shared" si="55"/>
        <v/>
      </c>
      <c r="U329" s="197" t="str">
        <f t="shared" si="56"/>
        <v/>
      </c>
      <c r="V329" s="198" t="str">
        <f t="shared" si="53"/>
        <v/>
      </c>
      <c r="W329" s="339" t="str">
        <f t="shared" si="57"/>
        <v/>
      </c>
      <c r="X329" s="341" t="str">
        <f t="shared" si="58"/>
        <v/>
      </c>
      <c r="Y329" s="277"/>
      <c r="AR329" t="str">
        <f t="shared" si="59"/>
        <v/>
      </c>
      <c r="AS329" t="str">
        <f t="shared" si="60"/>
        <v/>
      </c>
    </row>
    <row r="330" spans="1:45">
      <c r="A330" s="294"/>
      <c r="B330" s="295"/>
      <c r="C330" s="296"/>
      <c r="D330" s="296"/>
      <c r="E330" s="296"/>
      <c r="F330" s="296"/>
      <c r="G330" s="297"/>
      <c r="H330" s="303"/>
      <c r="I330" s="298"/>
      <c r="J330" s="298"/>
      <c r="K330" s="299"/>
      <c r="L330" s="304"/>
      <c r="M330" s="300"/>
      <c r="N330" s="301"/>
      <c r="P330" s="193" t="str">
        <f>IF(R330 = "", "", COUNT(R$4:$R330))</f>
        <v/>
      </c>
      <c r="Q330" s="193" t="str">
        <f t="shared" si="51"/>
        <v/>
      </c>
      <c r="R330" s="194" t="str">
        <f t="shared" si="52"/>
        <v/>
      </c>
      <c r="S330" s="195" t="str">
        <f t="shared" si="54"/>
        <v/>
      </c>
      <c r="T330" s="196" t="str">
        <f t="shared" si="55"/>
        <v/>
      </c>
      <c r="U330" s="197" t="str">
        <f t="shared" si="56"/>
        <v/>
      </c>
      <c r="V330" s="198" t="str">
        <f t="shared" si="53"/>
        <v/>
      </c>
      <c r="W330" s="339" t="str">
        <f t="shared" si="57"/>
        <v/>
      </c>
      <c r="X330" s="341" t="str">
        <f t="shared" si="58"/>
        <v/>
      </c>
      <c r="Y330" s="277"/>
      <c r="AR330" t="str">
        <f t="shared" si="59"/>
        <v/>
      </c>
      <c r="AS330" t="str">
        <f t="shared" si="60"/>
        <v/>
      </c>
    </row>
    <row r="331" spans="1:45">
      <c r="A331" s="294"/>
      <c r="B331" s="295"/>
      <c r="C331" s="296"/>
      <c r="D331" s="296"/>
      <c r="E331" s="296"/>
      <c r="F331" s="296"/>
      <c r="G331" s="297"/>
      <c r="H331" s="303"/>
      <c r="I331" s="298"/>
      <c r="J331" s="298"/>
      <c r="K331" s="299"/>
      <c r="L331" s="304"/>
      <c r="M331" s="300"/>
      <c r="N331" s="301"/>
      <c r="P331" s="193" t="str">
        <f>IF(R331 = "", "", COUNT(R$4:$R331))</f>
        <v/>
      </c>
      <c r="Q331" s="193" t="str">
        <f t="shared" si="51"/>
        <v/>
      </c>
      <c r="R331" s="194" t="str">
        <f t="shared" si="52"/>
        <v/>
      </c>
      <c r="S331" s="195" t="str">
        <f t="shared" si="54"/>
        <v/>
      </c>
      <c r="T331" s="196" t="str">
        <f t="shared" si="55"/>
        <v/>
      </c>
      <c r="U331" s="197" t="str">
        <f t="shared" si="56"/>
        <v/>
      </c>
      <c r="V331" s="198" t="str">
        <f t="shared" si="53"/>
        <v/>
      </c>
      <c r="W331" s="339" t="str">
        <f t="shared" si="57"/>
        <v/>
      </c>
      <c r="X331" s="341" t="str">
        <f t="shared" si="58"/>
        <v/>
      </c>
      <c r="Y331" s="277"/>
      <c r="AR331" t="str">
        <f t="shared" si="59"/>
        <v/>
      </c>
      <c r="AS331" t="str">
        <f t="shared" si="60"/>
        <v/>
      </c>
    </row>
    <row r="332" spans="1:45">
      <c r="A332" s="294"/>
      <c r="B332" s="295"/>
      <c r="C332" s="296"/>
      <c r="D332" s="296"/>
      <c r="E332" s="296"/>
      <c r="F332" s="296"/>
      <c r="G332" s="297"/>
      <c r="H332" s="303"/>
      <c r="I332" s="298"/>
      <c r="J332" s="298"/>
      <c r="K332" s="299"/>
      <c r="L332" s="304"/>
      <c r="M332" s="300"/>
      <c r="N332" s="301"/>
      <c r="P332" s="193" t="str">
        <f>IF(R332 = "", "", COUNT(R$4:$R332))</f>
        <v/>
      </c>
      <c r="Q332" s="193" t="str">
        <f t="shared" si="51"/>
        <v/>
      </c>
      <c r="R332" s="194" t="str">
        <f t="shared" si="52"/>
        <v/>
      </c>
      <c r="S332" s="195" t="str">
        <f t="shared" si="54"/>
        <v/>
      </c>
      <c r="T332" s="196" t="str">
        <f t="shared" si="55"/>
        <v/>
      </c>
      <c r="U332" s="197" t="str">
        <f t="shared" si="56"/>
        <v/>
      </c>
      <c r="V332" s="198" t="str">
        <f t="shared" si="53"/>
        <v/>
      </c>
      <c r="W332" s="339" t="str">
        <f t="shared" si="57"/>
        <v/>
      </c>
      <c r="X332" s="341" t="str">
        <f t="shared" si="58"/>
        <v/>
      </c>
      <c r="Y332" s="277"/>
      <c r="AR332" t="str">
        <f t="shared" si="59"/>
        <v/>
      </c>
      <c r="AS332" t="str">
        <f t="shared" si="60"/>
        <v/>
      </c>
    </row>
    <row r="333" spans="1:45">
      <c r="A333" s="294"/>
      <c r="B333" s="295"/>
      <c r="C333" s="296"/>
      <c r="D333" s="296"/>
      <c r="E333" s="296"/>
      <c r="F333" s="296"/>
      <c r="G333" s="297"/>
      <c r="H333" s="303"/>
      <c r="I333" s="298"/>
      <c r="J333" s="298"/>
      <c r="K333" s="299"/>
      <c r="L333" s="304"/>
      <c r="M333" s="300"/>
      <c r="N333" s="301"/>
      <c r="P333" s="193" t="str">
        <f>IF(R333 = "", "", COUNT(R$4:$R333))</f>
        <v/>
      </c>
      <c r="Q333" s="193" t="str">
        <f t="shared" si="51"/>
        <v/>
      </c>
      <c r="R333" s="194" t="str">
        <f t="shared" si="52"/>
        <v/>
      </c>
      <c r="S333" s="195" t="str">
        <f t="shared" si="54"/>
        <v/>
      </c>
      <c r="T333" s="196" t="str">
        <f t="shared" si="55"/>
        <v/>
      </c>
      <c r="U333" s="197" t="str">
        <f t="shared" si="56"/>
        <v/>
      </c>
      <c r="V333" s="198" t="str">
        <f t="shared" si="53"/>
        <v/>
      </c>
      <c r="W333" s="339" t="str">
        <f t="shared" si="57"/>
        <v/>
      </c>
      <c r="X333" s="341" t="str">
        <f t="shared" si="58"/>
        <v/>
      </c>
      <c r="Y333" s="277"/>
      <c r="AR333" t="str">
        <f t="shared" si="59"/>
        <v/>
      </c>
      <c r="AS333" t="str">
        <f t="shared" si="60"/>
        <v/>
      </c>
    </row>
    <row r="334" spans="1:45">
      <c r="A334" s="294"/>
      <c r="B334" s="295"/>
      <c r="C334" s="296"/>
      <c r="D334" s="296"/>
      <c r="E334" s="296"/>
      <c r="F334" s="296"/>
      <c r="G334" s="297"/>
      <c r="H334" s="303"/>
      <c r="I334" s="298"/>
      <c r="J334" s="298"/>
      <c r="K334" s="299"/>
      <c r="L334" s="304"/>
      <c r="M334" s="300"/>
      <c r="N334" s="301"/>
      <c r="P334" s="193" t="str">
        <f>IF(R334 = "", "", COUNT(R$4:$R334))</f>
        <v/>
      </c>
      <c r="Q334" s="193" t="str">
        <f t="shared" si="51"/>
        <v/>
      </c>
      <c r="R334" s="194" t="str">
        <f t="shared" si="52"/>
        <v/>
      </c>
      <c r="S334" s="195" t="str">
        <f t="shared" si="54"/>
        <v/>
      </c>
      <c r="T334" s="196" t="str">
        <f t="shared" si="55"/>
        <v/>
      </c>
      <c r="U334" s="197" t="str">
        <f t="shared" si="56"/>
        <v/>
      </c>
      <c r="V334" s="198" t="str">
        <f t="shared" si="53"/>
        <v/>
      </c>
      <c r="W334" s="339" t="str">
        <f t="shared" si="57"/>
        <v/>
      </c>
      <c r="X334" s="341" t="str">
        <f t="shared" si="58"/>
        <v/>
      </c>
      <c r="Y334" s="277"/>
      <c r="AR334" t="str">
        <f t="shared" si="59"/>
        <v/>
      </c>
      <c r="AS334" t="str">
        <f t="shared" si="60"/>
        <v/>
      </c>
    </row>
    <row r="335" spans="1:45">
      <c r="A335" s="294"/>
      <c r="B335" s="295"/>
      <c r="C335" s="296"/>
      <c r="D335" s="296"/>
      <c r="E335" s="296"/>
      <c r="F335" s="296"/>
      <c r="G335" s="297"/>
      <c r="H335" s="303"/>
      <c r="I335" s="298"/>
      <c r="J335" s="298"/>
      <c r="K335" s="299"/>
      <c r="L335" s="304"/>
      <c r="M335" s="300"/>
      <c r="N335" s="301"/>
      <c r="P335" s="193" t="str">
        <f>IF(R335 = "", "", COUNT(R$4:$R335))</f>
        <v/>
      </c>
      <c r="Q335" s="193" t="str">
        <f t="shared" si="51"/>
        <v/>
      </c>
      <c r="R335" s="194" t="str">
        <f t="shared" si="52"/>
        <v/>
      </c>
      <c r="S335" s="195" t="str">
        <f t="shared" si="54"/>
        <v/>
      </c>
      <c r="T335" s="196" t="str">
        <f t="shared" si="55"/>
        <v/>
      </c>
      <c r="U335" s="197" t="str">
        <f t="shared" si="56"/>
        <v/>
      </c>
      <c r="V335" s="198" t="str">
        <f t="shared" si="53"/>
        <v/>
      </c>
      <c r="W335" s="339" t="str">
        <f t="shared" si="57"/>
        <v/>
      </c>
      <c r="X335" s="341" t="str">
        <f t="shared" si="58"/>
        <v/>
      </c>
      <c r="Y335" s="277"/>
      <c r="AR335" t="str">
        <f t="shared" si="59"/>
        <v/>
      </c>
      <c r="AS335" t="str">
        <f t="shared" si="60"/>
        <v/>
      </c>
    </row>
    <row r="336" spans="1:45">
      <c r="A336" s="294"/>
      <c r="B336" s="295"/>
      <c r="C336" s="296"/>
      <c r="D336" s="296"/>
      <c r="E336" s="296"/>
      <c r="F336" s="296"/>
      <c r="G336" s="297"/>
      <c r="H336" s="303"/>
      <c r="I336" s="298"/>
      <c r="J336" s="298"/>
      <c r="K336" s="299"/>
      <c r="L336" s="304"/>
      <c r="M336" s="300"/>
      <c r="N336" s="301"/>
      <c r="P336" s="193" t="str">
        <f>IF(R336 = "", "", COUNT(R$4:$R336))</f>
        <v/>
      </c>
      <c r="Q336" s="193" t="str">
        <f t="shared" si="51"/>
        <v/>
      </c>
      <c r="R336" s="194" t="str">
        <f t="shared" si="52"/>
        <v/>
      </c>
      <c r="S336" s="195" t="str">
        <f t="shared" si="54"/>
        <v/>
      </c>
      <c r="T336" s="196" t="str">
        <f t="shared" si="55"/>
        <v/>
      </c>
      <c r="U336" s="197" t="str">
        <f t="shared" si="56"/>
        <v/>
      </c>
      <c r="V336" s="198" t="str">
        <f t="shared" si="53"/>
        <v/>
      </c>
      <c r="W336" s="339" t="str">
        <f t="shared" si="57"/>
        <v/>
      </c>
      <c r="X336" s="341" t="str">
        <f t="shared" si="58"/>
        <v/>
      </c>
      <c r="Y336" s="277"/>
      <c r="AR336" t="str">
        <f t="shared" si="59"/>
        <v/>
      </c>
      <c r="AS336" t="str">
        <f t="shared" si="60"/>
        <v/>
      </c>
    </row>
    <row r="337" spans="1:45">
      <c r="A337" s="294"/>
      <c r="B337" s="295"/>
      <c r="C337" s="296"/>
      <c r="D337" s="296"/>
      <c r="E337" s="296"/>
      <c r="F337" s="296"/>
      <c r="G337" s="297"/>
      <c r="H337" s="303"/>
      <c r="I337" s="298"/>
      <c r="J337" s="298"/>
      <c r="K337" s="299"/>
      <c r="L337" s="304"/>
      <c r="M337" s="300"/>
      <c r="N337" s="301"/>
      <c r="P337" s="193" t="str">
        <f>IF(R337 = "", "", COUNT(R$4:$R337))</f>
        <v/>
      </c>
      <c r="Q337" s="193" t="str">
        <f t="shared" si="51"/>
        <v/>
      </c>
      <c r="R337" s="194" t="str">
        <f t="shared" si="52"/>
        <v/>
      </c>
      <c r="S337" s="195" t="str">
        <f t="shared" si="54"/>
        <v/>
      </c>
      <c r="T337" s="196" t="str">
        <f t="shared" si="55"/>
        <v/>
      </c>
      <c r="U337" s="197" t="str">
        <f t="shared" si="56"/>
        <v/>
      </c>
      <c r="V337" s="198" t="str">
        <f t="shared" si="53"/>
        <v/>
      </c>
      <c r="W337" s="339" t="str">
        <f t="shared" si="57"/>
        <v/>
      </c>
      <c r="X337" s="341" t="str">
        <f t="shared" si="58"/>
        <v/>
      </c>
      <c r="Y337" s="277"/>
      <c r="AR337" t="str">
        <f t="shared" si="59"/>
        <v/>
      </c>
      <c r="AS337" t="str">
        <f t="shared" si="60"/>
        <v/>
      </c>
    </row>
    <row r="338" spans="1:45">
      <c r="A338" s="294"/>
      <c r="B338" s="295"/>
      <c r="C338" s="296"/>
      <c r="D338" s="296"/>
      <c r="E338" s="296"/>
      <c r="F338" s="296"/>
      <c r="G338" s="297"/>
      <c r="H338" s="303"/>
      <c r="I338" s="298"/>
      <c r="J338" s="298"/>
      <c r="K338" s="299"/>
      <c r="L338" s="304"/>
      <c r="M338" s="300"/>
      <c r="N338" s="301"/>
      <c r="P338" s="193" t="str">
        <f>IF(R338 = "", "", COUNT(R$4:$R338))</f>
        <v/>
      </c>
      <c r="Q338" s="193" t="str">
        <f t="shared" si="51"/>
        <v/>
      </c>
      <c r="R338" s="194" t="str">
        <f t="shared" si="52"/>
        <v/>
      </c>
      <c r="S338" s="195" t="str">
        <f t="shared" si="54"/>
        <v/>
      </c>
      <c r="T338" s="196" t="str">
        <f t="shared" si="55"/>
        <v/>
      </c>
      <c r="U338" s="197" t="str">
        <f t="shared" si="56"/>
        <v/>
      </c>
      <c r="V338" s="198" t="str">
        <f t="shared" si="53"/>
        <v/>
      </c>
      <c r="W338" s="339" t="str">
        <f t="shared" si="57"/>
        <v/>
      </c>
      <c r="X338" s="341" t="str">
        <f t="shared" si="58"/>
        <v/>
      </c>
      <c r="Y338" s="277"/>
      <c r="AR338" t="str">
        <f t="shared" si="59"/>
        <v/>
      </c>
      <c r="AS338" t="str">
        <f t="shared" si="60"/>
        <v/>
      </c>
    </row>
    <row r="339" spans="1:45">
      <c r="A339" s="294"/>
      <c r="B339" s="295"/>
      <c r="C339" s="296"/>
      <c r="D339" s="296"/>
      <c r="E339" s="296"/>
      <c r="F339" s="296"/>
      <c r="G339" s="297"/>
      <c r="H339" s="303"/>
      <c r="I339" s="298"/>
      <c r="J339" s="298"/>
      <c r="K339" s="299"/>
      <c r="L339" s="304"/>
      <c r="M339" s="300"/>
      <c r="N339" s="301"/>
      <c r="P339" s="193" t="str">
        <f>IF(R339 = "", "", COUNT(R$4:$R339))</f>
        <v/>
      </c>
      <c r="Q339" s="193" t="str">
        <f t="shared" si="51"/>
        <v/>
      </c>
      <c r="R339" s="194" t="str">
        <f t="shared" si="52"/>
        <v/>
      </c>
      <c r="S339" s="195" t="str">
        <f t="shared" si="54"/>
        <v/>
      </c>
      <c r="T339" s="196" t="str">
        <f t="shared" si="55"/>
        <v/>
      </c>
      <c r="U339" s="197" t="str">
        <f t="shared" si="56"/>
        <v/>
      </c>
      <c r="V339" s="198" t="str">
        <f t="shared" si="53"/>
        <v/>
      </c>
      <c r="W339" s="339" t="str">
        <f t="shared" si="57"/>
        <v/>
      </c>
      <c r="X339" s="341" t="str">
        <f t="shared" si="58"/>
        <v/>
      </c>
      <c r="Y339" s="277"/>
      <c r="AR339" t="str">
        <f t="shared" si="59"/>
        <v/>
      </c>
      <c r="AS339" t="str">
        <f t="shared" si="60"/>
        <v/>
      </c>
    </row>
    <row r="340" spans="1:45">
      <c r="A340" s="294"/>
      <c r="B340" s="295"/>
      <c r="C340" s="296"/>
      <c r="D340" s="296"/>
      <c r="E340" s="296"/>
      <c r="F340" s="296"/>
      <c r="G340" s="297"/>
      <c r="H340" s="303"/>
      <c r="I340" s="298"/>
      <c r="J340" s="298"/>
      <c r="K340" s="299"/>
      <c r="L340" s="304"/>
      <c r="M340" s="300"/>
      <c r="N340" s="301"/>
      <c r="P340" s="193" t="str">
        <f>IF(R340 = "", "", COUNT(R$4:$R340))</f>
        <v/>
      </c>
      <c r="Q340" s="193" t="str">
        <f t="shared" si="51"/>
        <v/>
      </c>
      <c r="R340" s="194" t="str">
        <f t="shared" si="52"/>
        <v/>
      </c>
      <c r="S340" s="195" t="str">
        <f t="shared" si="54"/>
        <v/>
      </c>
      <c r="T340" s="196" t="str">
        <f t="shared" si="55"/>
        <v/>
      </c>
      <c r="U340" s="197" t="str">
        <f t="shared" si="56"/>
        <v/>
      </c>
      <c r="V340" s="198" t="str">
        <f t="shared" si="53"/>
        <v/>
      </c>
      <c r="W340" s="339" t="str">
        <f t="shared" si="57"/>
        <v/>
      </c>
      <c r="X340" s="341" t="str">
        <f t="shared" si="58"/>
        <v/>
      </c>
      <c r="Y340" s="277"/>
      <c r="AR340" t="str">
        <f t="shared" si="59"/>
        <v/>
      </c>
      <c r="AS340" t="str">
        <f t="shared" si="60"/>
        <v/>
      </c>
    </row>
    <row r="341" spans="1:45">
      <c r="A341" s="294"/>
      <c r="B341" s="295"/>
      <c r="C341" s="296"/>
      <c r="D341" s="296"/>
      <c r="E341" s="296"/>
      <c r="F341" s="296"/>
      <c r="G341" s="297"/>
      <c r="H341" s="303"/>
      <c r="I341" s="298"/>
      <c r="J341" s="298"/>
      <c r="K341" s="299"/>
      <c r="L341" s="304"/>
      <c r="M341" s="300"/>
      <c r="N341" s="301"/>
      <c r="P341" s="193" t="str">
        <f>IF(R341 = "", "", COUNT(R$4:$R341))</f>
        <v/>
      </c>
      <c r="Q341" s="193" t="str">
        <f t="shared" si="51"/>
        <v/>
      </c>
      <c r="R341" s="194" t="str">
        <f t="shared" si="52"/>
        <v/>
      </c>
      <c r="S341" s="195" t="str">
        <f t="shared" si="54"/>
        <v/>
      </c>
      <c r="T341" s="196" t="str">
        <f t="shared" si="55"/>
        <v/>
      </c>
      <c r="U341" s="197" t="str">
        <f t="shared" si="56"/>
        <v/>
      </c>
      <c r="V341" s="198" t="str">
        <f t="shared" si="53"/>
        <v/>
      </c>
      <c r="W341" s="339" t="str">
        <f t="shared" si="57"/>
        <v/>
      </c>
      <c r="X341" s="341" t="str">
        <f t="shared" si="58"/>
        <v/>
      </c>
      <c r="Y341" s="277"/>
      <c r="AR341" t="str">
        <f t="shared" si="59"/>
        <v/>
      </c>
      <c r="AS341" t="str">
        <f t="shared" si="60"/>
        <v/>
      </c>
    </row>
    <row r="342" spans="1:45">
      <c r="A342" s="294"/>
      <c r="B342" s="295"/>
      <c r="C342" s="296"/>
      <c r="D342" s="296"/>
      <c r="E342" s="296"/>
      <c r="F342" s="296"/>
      <c r="G342" s="297"/>
      <c r="H342" s="303"/>
      <c r="I342" s="298"/>
      <c r="J342" s="298"/>
      <c r="K342" s="299"/>
      <c r="L342" s="304"/>
      <c r="M342" s="300"/>
      <c r="N342" s="301"/>
      <c r="P342" s="193" t="str">
        <f>IF(R342 = "", "", COUNT(R$4:$R342))</f>
        <v/>
      </c>
      <c r="Q342" s="193" t="str">
        <f t="shared" si="51"/>
        <v/>
      </c>
      <c r="R342" s="194" t="str">
        <f t="shared" si="52"/>
        <v/>
      </c>
      <c r="S342" s="195" t="str">
        <f t="shared" si="54"/>
        <v/>
      </c>
      <c r="T342" s="196" t="str">
        <f t="shared" si="55"/>
        <v/>
      </c>
      <c r="U342" s="197" t="str">
        <f t="shared" si="56"/>
        <v/>
      </c>
      <c r="V342" s="198" t="str">
        <f t="shared" si="53"/>
        <v/>
      </c>
      <c r="W342" s="339" t="str">
        <f t="shared" si="57"/>
        <v/>
      </c>
      <c r="X342" s="341" t="str">
        <f t="shared" si="58"/>
        <v/>
      </c>
      <c r="Y342" s="277"/>
      <c r="AR342" t="str">
        <f t="shared" si="59"/>
        <v/>
      </c>
      <c r="AS342" t="str">
        <f t="shared" si="60"/>
        <v/>
      </c>
    </row>
    <row r="343" spans="1:45">
      <c r="A343" s="294"/>
      <c r="B343" s="295"/>
      <c r="C343" s="296"/>
      <c r="D343" s="296"/>
      <c r="E343" s="296"/>
      <c r="F343" s="296"/>
      <c r="G343" s="297"/>
      <c r="H343" s="303"/>
      <c r="I343" s="298"/>
      <c r="J343" s="298"/>
      <c r="K343" s="299"/>
      <c r="L343" s="304"/>
      <c r="M343" s="300"/>
      <c r="N343" s="301"/>
      <c r="P343" s="193" t="str">
        <f>IF(R343 = "", "", COUNT(R$4:$R343))</f>
        <v/>
      </c>
      <c r="Q343" s="193" t="str">
        <f t="shared" si="51"/>
        <v/>
      </c>
      <c r="R343" s="194" t="str">
        <f t="shared" si="52"/>
        <v/>
      </c>
      <c r="S343" s="195" t="str">
        <f t="shared" si="54"/>
        <v/>
      </c>
      <c r="T343" s="196" t="str">
        <f t="shared" si="55"/>
        <v/>
      </c>
      <c r="U343" s="197" t="str">
        <f t="shared" si="56"/>
        <v/>
      </c>
      <c r="V343" s="198" t="str">
        <f t="shared" si="53"/>
        <v/>
      </c>
      <c r="W343" s="339" t="str">
        <f t="shared" si="57"/>
        <v/>
      </c>
      <c r="X343" s="341" t="str">
        <f t="shared" si="58"/>
        <v/>
      </c>
      <c r="Y343" s="277"/>
      <c r="AR343" t="str">
        <f t="shared" si="59"/>
        <v/>
      </c>
      <c r="AS343" t="str">
        <f t="shared" si="60"/>
        <v/>
      </c>
    </row>
    <row r="344" spans="1:45">
      <c r="A344" s="294"/>
      <c r="B344" s="295"/>
      <c r="C344" s="296"/>
      <c r="D344" s="296"/>
      <c r="E344" s="296"/>
      <c r="F344" s="296"/>
      <c r="G344" s="297"/>
      <c r="H344" s="303"/>
      <c r="I344" s="298"/>
      <c r="J344" s="298"/>
      <c r="K344" s="299"/>
      <c r="L344" s="304"/>
      <c r="M344" s="300"/>
      <c r="N344" s="301"/>
      <c r="P344" s="193" t="str">
        <f>IF(R344 = "", "", COUNT(R$4:$R344))</f>
        <v/>
      </c>
      <c r="Q344" s="193" t="str">
        <f t="shared" si="51"/>
        <v/>
      </c>
      <c r="R344" s="194" t="str">
        <f t="shared" si="52"/>
        <v/>
      </c>
      <c r="S344" s="195" t="str">
        <f t="shared" si="54"/>
        <v/>
      </c>
      <c r="T344" s="196" t="str">
        <f t="shared" si="55"/>
        <v/>
      </c>
      <c r="U344" s="197" t="str">
        <f t="shared" si="56"/>
        <v/>
      </c>
      <c r="V344" s="198" t="str">
        <f t="shared" si="53"/>
        <v/>
      </c>
      <c r="W344" s="339" t="str">
        <f t="shared" si="57"/>
        <v/>
      </c>
      <c r="X344" s="341" t="str">
        <f t="shared" si="58"/>
        <v/>
      </c>
      <c r="Y344" s="277"/>
      <c r="AR344" t="str">
        <f t="shared" si="59"/>
        <v/>
      </c>
      <c r="AS344" t="str">
        <f t="shared" si="60"/>
        <v/>
      </c>
    </row>
    <row r="345" spans="1:45">
      <c r="A345" s="294"/>
      <c r="B345" s="295"/>
      <c r="C345" s="296"/>
      <c r="D345" s="296"/>
      <c r="E345" s="296"/>
      <c r="F345" s="296"/>
      <c r="G345" s="297"/>
      <c r="H345" s="303"/>
      <c r="I345" s="298"/>
      <c r="J345" s="298"/>
      <c r="K345" s="299"/>
      <c r="L345" s="304"/>
      <c r="M345" s="300"/>
      <c r="N345" s="301"/>
      <c r="P345" s="193" t="str">
        <f>IF(R345 = "", "", COUNT(R$4:$R345))</f>
        <v/>
      </c>
      <c r="Q345" s="193" t="str">
        <f t="shared" si="51"/>
        <v/>
      </c>
      <c r="R345" s="194" t="str">
        <f t="shared" si="52"/>
        <v/>
      </c>
      <c r="S345" s="195" t="str">
        <f t="shared" si="54"/>
        <v/>
      </c>
      <c r="T345" s="196" t="str">
        <f t="shared" si="55"/>
        <v/>
      </c>
      <c r="U345" s="197" t="str">
        <f t="shared" si="56"/>
        <v/>
      </c>
      <c r="V345" s="198" t="str">
        <f t="shared" si="53"/>
        <v/>
      </c>
      <c r="W345" s="339" t="str">
        <f t="shared" si="57"/>
        <v/>
      </c>
      <c r="X345" s="341" t="str">
        <f t="shared" si="58"/>
        <v/>
      </c>
      <c r="Y345" s="277"/>
      <c r="AR345" t="str">
        <f t="shared" si="59"/>
        <v/>
      </c>
      <c r="AS345" t="str">
        <f t="shared" si="60"/>
        <v/>
      </c>
    </row>
    <row r="346" spans="1:45">
      <c r="A346" s="294"/>
      <c r="B346" s="295"/>
      <c r="C346" s="296"/>
      <c r="D346" s="296"/>
      <c r="E346" s="296"/>
      <c r="F346" s="296"/>
      <c r="G346" s="297"/>
      <c r="H346" s="303"/>
      <c r="I346" s="298"/>
      <c r="J346" s="298"/>
      <c r="K346" s="299"/>
      <c r="L346" s="304"/>
      <c r="M346" s="300"/>
      <c r="N346" s="301"/>
      <c r="P346" s="193" t="str">
        <f>IF(R346 = "", "", COUNT(R$4:$R346))</f>
        <v/>
      </c>
      <c r="Q346" s="193" t="str">
        <f t="shared" si="51"/>
        <v/>
      </c>
      <c r="R346" s="194" t="str">
        <f t="shared" si="52"/>
        <v/>
      </c>
      <c r="S346" s="195" t="str">
        <f t="shared" si="54"/>
        <v/>
      </c>
      <c r="T346" s="196" t="str">
        <f t="shared" si="55"/>
        <v/>
      </c>
      <c r="U346" s="197" t="str">
        <f t="shared" si="56"/>
        <v/>
      </c>
      <c r="V346" s="198" t="str">
        <f t="shared" si="53"/>
        <v/>
      </c>
      <c r="W346" s="339" t="str">
        <f t="shared" si="57"/>
        <v/>
      </c>
      <c r="X346" s="341" t="str">
        <f t="shared" si="58"/>
        <v/>
      </c>
      <c r="Y346" s="277"/>
      <c r="AR346" t="str">
        <f t="shared" si="59"/>
        <v/>
      </c>
      <c r="AS346" t="str">
        <f t="shared" si="60"/>
        <v/>
      </c>
    </row>
    <row r="347" spans="1:45">
      <c r="A347" s="294"/>
      <c r="B347" s="295"/>
      <c r="C347" s="296"/>
      <c r="D347" s="296"/>
      <c r="E347" s="296"/>
      <c r="F347" s="296"/>
      <c r="G347" s="297"/>
      <c r="H347" s="303"/>
      <c r="I347" s="298"/>
      <c r="J347" s="298"/>
      <c r="K347" s="299"/>
      <c r="L347" s="304"/>
      <c r="M347" s="300"/>
      <c r="N347" s="301"/>
      <c r="P347" s="193" t="str">
        <f>IF(R347 = "", "", COUNT(R$4:$R347))</f>
        <v/>
      </c>
      <c r="Q347" s="193" t="str">
        <f t="shared" si="51"/>
        <v/>
      </c>
      <c r="R347" s="194" t="str">
        <f t="shared" si="52"/>
        <v/>
      </c>
      <c r="S347" s="195" t="str">
        <f t="shared" si="54"/>
        <v/>
      </c>
      <c r="T347" s="196" t="str">
        <f t="shared" si="55"/>
        <v/>
      </c>
      <c r="U347" s="197" t="str">
        <f t="shared" si="56"/>
        <v/>
      </c>
      <c r="V347" s="198" t="str">
        <f t="shared" si="53"/>
        <v/>
      </c>
      <c r="W347" s="339" t="str">
        <f t="shared" si="57"/>
        <v/>
      </c>
      <c r="X347" s="341" t="str">
        <f t="shared" si="58"/>
        <v/>
      </c>
      <c r="Y347" s="277"/>
      <c r="AR347" t="str">
        <f t="shared" si="59"/>
        <v/>
      </c>
      <c r="AS347" t="str">
        <f t="shared" si="60"/>
        <v/>
      </c>
    </row>
    <row r="348" spans="1:45">
      <c r="A348" s="294"/>
      <c r="B348" s="295"/>
      <c r="C348" s="296"/>
      <c r="D348" s="296"/>
      <c r="E348" s="296"/>
      <c r="F348" s="296"/>
      <c r="G348" s="297"/>
      <c r="H348" s="303"/>
      <c r="I348" s="298"/>
      <c r="J348" s="298"/>
      <c r="K348" s="299"/>
      <c r="L348" s="304"/>
      <c r="M348" s="300"/>
      <c r="N348" s="301"/>
      <c r="P348" s="193" t="str">
        <f>IF(R348 = "", "", COUNT(R$4:$R348))</f>
        <v/>
      </c>
      <c r="Q348" s="193" t="str">
        <f t="shared" si="51"/>
        <v/>
      </c>
      <c r="R348" s="194" t="str">
        <f t="shared" si="52"/>
        <v/>
      </c>
      <c r="S348" s="195" t="str">
        <f t="shared" si="54"/>
        <v/>
      </c>
      <c r="T348" s="196" t="str">
        <f t="shared" si="55"/>
        <v/>
      </c>
      <c r="U348" s="197" t="str">
        <f t="shared" si="56"/>
        <v/>
      </c>
      <c r="V348" s="198" t="str">
        <f t="shared" si="53"/>
        <v/>
      </c>
      <c r="W348" s="339" t="str">
        <f t="shared" si="57"/>
        <v/>
      </c>
      <c r="X348" s="341" t="str">
        <f t="shared" si="58"/>
        <v/>
      </c>
      <c r="Y348" s="277"/>
      <c r="AR348" t="str">
        <f t="shared" si="59"/>
        <v/>
      </c>
      <c r="AS348" t="str">
        <f t="shared" si="60"/>
        <v/>
      </c>
    </row>
    <row r="349" spans="1:45">
      <c r="A349" s="294"/>
      <c r="B349" s="295"/>
      <c r="C349" s="296"/>
      <c r="D349" s="296"/>
      <c r="E349" s="296"/>
      <c r="F349" s="296"/>
      <c r="G349" s="297"/>
      <c r="H349" s="303"/>
      <c r="I349" s="298"/>
      <c r="J349" s="298"/>
      <c r="K349" s="299"/>
      <c r="L349" s="304"/>
      <c r="M349" s="300"/>
      <c r="N349" s="301"/>
      <c r="P349" s="193" t="str">
        <f>IF(R349 = "", "", COUNT(R$4:$R349))</f>
        <v/>
      </c>
      <c r="Q349" s="193" t="str">
        <f t="shared" si="51"/>
        <v/>
      </c>
      <c r="R349" s="194" t="str">
        <f t="shared" si="52"/>
        <v/>
      </c>
      <c r="S349" s="195" t="str">
        <f t="shared" si="54"/>
        <v/>
      </c>
      <c r="T349" s="196" t="str">
        <f t="shared" si="55"/>
        <v/>
      </c>
      <c r="U349" s="197" t="str">
        <f t="shared" si="56"/>
        <v/>
      </c>
      <c r="V349" s="198" t="str">
        <f t="shared" si="53"/>
        <v/>
      </c>
      <c r="W349" s="339" t="str">
        <f t="shared" si="57"/>
        <v/>
      </c>
      <c r="X349" s="341" t="str">
        <f t="shared" si="58"/>
        <v/>
      </c>
      <c r="Y349" s="277"/>
      <c r="AR349" t="str">
        <f t="shared" si="59"/>
        <v/>
      </c>
      <c r="AS349" t="str">
        <f t="shared" si="60"/>
        <v/>
      </c>
    </row>
    <row r="350" spans="1:45">
      <c r="A350" s="294"/>
      <c r="B350" s="295"/>
      <c r="C350" s="296"/>
      <c r="D350" s="296"/>
      <c r="E350" s="296"/>
      <c r="F350" s="296"/>
      <c r="G350" s="297"/>
      <c r="H350" s="303"/>
      <c r="I350" s="298"/>
      <c r="J350" s="298"/>
      <c r="K350" s="299"/>
      <c r="L350" s="304"/>
      <c r="M350" s="300"/>
      <c r="N350" s="301"/>
      <c r="P350" s="193" t="str">
        <f>IF(R350 = "", "", COUNT(R$4:$R350))</f>
        <v/>
      </c>
      <c r="Q350" s="193" t="str">
        <f t="shared" si="51"/>
        <v/>
      </c>
      <c r="R350" s="194" t="str">
        <f t="shared" si="52"/>
        <v/>
      </c>
      <c r="S350" s="195" t="str">
        <f t="shared" si="54"/>
        <v/>
      </c>
      <c r="T350" s="196" t="str">
        <f t="shared" si="55"/>
        <v/>
      </c>
      <c r="U350" s="197" t="str">
        <f t="shared" si="56"/>
        <v/>
      </c>
      <c r="V350" s="198" t="str">
        <f t="shared" si="53"/>
        <v/>
      </c>
      <c r="W350" s="339" t="str">
        <f t="shared" si="57"/>
        <v/>
      </c>
      <c r="X350" s="341" t="str">
        <f t="shared" si="58"/>
        <v/>
      </c>
      <c r="Y350" s="277"/>
      <c r="AR350" t="str">
        <f t="shared" si="59"/>
        <v/>
      </c>
      <c r="AS350" t="str">
        <f t="shared" si="60"/>
        <v/>
      </c>
    </row>
    <row r="351" spans="1:45">
      <c r="A351" s="294"/>
      <c r="B351" s="295"/>
      <c r="C351" s="296"/>
      <c r="D351" s="296"/>
      <c r="E351" s="296"/>
      <c r="F351" s="296"/>
      <c r="G351" s="297"/>
      <c r="H351" s="303"/>
      <c r="I351" s="298"/>
      <c r="J351" s="298"/>
      <c r="K351" s="299"/>
      <c r="L351" s="304"/>
      <c r="M351" s="300"/>
      <c r="N351" s="301"/>
      <c r="P351" s="193" t="str">
        <f>IF(R351 = "", "", COUNT(R$4:$R351))</f>
        <v/>
      </c>
      <c r="Q351" s="193" t="str">
        <f t="shared" si="51"/>
        <v/>
      </c>
      <c r="R351" s="194" t="str">
        <f t="shared" si="52"/>
        <v/>
      </c>
      <c r="S351" s="195" t="str">
        <f t="shared" si="54"/>
        <v/>
      </c>
      <c r="T351" s="196" t="str">
        <f t="shared" si="55"/>
        <v/>
      </c>
      <c r="U351" s="197" t="str">
        <f t="shared" si="56"/>
        <v/>
      </c>
      <c r="V351" s="198" t="str">
        <f t="shared" si="53"/>
        <v/>
      </c>
      <c r="W351" s="339" t="str">
        <f t="shared" si="57"/>
        <v/>
      </c>
      <c r="X351" s="341" t="str">
        <f t="shared" si="58"/>
        <v/>
      </c>
      <c r="Y351" s="277"/>
      <c r="AR351" t="str">
        <f t="shared" si="59"/>
        <v/>
      </c>
      <c r="AS351" t="str">
        <f t="shared" si="60"/>
        <v/>
      </c>
    </row>
    <row r="352" spans="1:45">
      <c r="A352" s="294"/>
      <c r="B352" s="295"/>
      <c r="C352" s="296"/>
      <c r="D352" s="296"/>
      <c r="E352" s="296"/>
      <c r="F352" s="296"/>
      <c r="G352" s="297"/>
      <c r="H352" s="303"/>
      <c r="I352" s="298"/>
      <c r="J352" s="298"/>
      <c r="K352" s="299"/>
      <c r="L352" s="304"/>
      <c r="M352" s="300"/>
      <c r="N352" s="301"/>
      <c r="P352" s="193" t="str">
        <f>IF(R352 = "", "", COUNT(R$4:$R352))</f>
        <v/>
      </c>
      <c r="Q352" s="193" t="str">
        <f t="shared" si="51"/>
        <v/>
      </c>
      <c r="R352" s="194" t="str">
        <f t="shared" si="52"/>
        <v/>
      </c>
      <c r="S352" s="195" t="str">
        <f t="shared" si="54"/>
        <v/>
      </c>
      <c r="T352" s="196" t="str">
        <f t="shared" si="55"/>
        <v/>
      </c>
      <c r="U352" s="197" t="str">
        <f t="shared" si="56"/>
        <v/>
      </c>
      <c r="V352" s="198" t="str">
        <f t="shared" si="53"/>
        <v/>
      </c>
      <c r="W352" s="339" t="str">
        <f t="shared" si="57"/>
        <v/>
      </c>
      <c r="X352" s="341" t="str">
        <f t="shared" si="58"/>
        <v/>
      </c>
      <c r="Y352" s="277"/>
      <c r="AR352" t="str">
        <f t="shared" si="59"/>
        <v/>
      </c>
      <c r="AS352" t="str">
        <f t="shared" si="60"/>
        <v/>
      </c>
    </row>
    <row r="353" spans="1:45">
      <c r="A353" s="294"/>
      <c r="B353" s="295"/>
      <c r="C353" s="296"/>
      <c r="D353" s="296"/>
      <c r="E353" s="296"/>
      <c r="F353" s="296"/>
      <c r="G353" s="297"/>
      <c r="H353" s="303"/>
      <c r="I353" s="298"/>
      <c r="J353" s="298"/>
      <c r="K353" s="299"/>
      <c r="L353" s="304"/>
      <c r="M353" s="300"/>
      <c r="N353" s="301"/>
      <c r="P353" s="193" t="str">
        <f>IF(R353 = "", "", COUNT(R$4:$R353))</f>
        <v/>
      </c>
      <c r="Q353" s="193" t="str">
        <f t="shared" si="51"/>
        <v/>
      </c>
      <c r="R353" s="194" t="str">
        <f t="shared" si="52"/>
        <v/>
      </c>
      <c r="S353" s="195" t="str">
        <f t="shared" si="54"/>
        <v/>
      </c>
      <c r="T353" s="196" t="str">
        <f t="shared" si="55"/>
        <v/>
      </c>
      <c r="U353" s="197" t="str">
        <f t="shared" si="56"/>
        <v/>
      </c>
      <c r="V353" s="198" t="str">
        <f t="shared" si="53"/>
        <v/>
      </c>
      <c r="W353" s="339" t="str">
        <f t="shared" si="57"/>
        <v/>
      </c>
      <c r="X353" s="341" t="str">
        <f t="shared" si="58"/>
        <v/>
      </c>
      <c r="Y353" s="277"/>
      <c r="AR353" t="str">
        <f t="shared" si="59"/>
        <v/>
      </c>
      <c r="AS353" t="str">
        <f t="shared" si="60"/>
        <v/>
      </c>
    </row>
    <row r="354" spans="1:45">
      <c r="A354" s="294"/>
      <c r="B354" s="295"/>
      <c r="C354" s="296"/>
      <c r="D354" s="296"/>
      <c r="E354" s="296"/>
      <c r="F354" s="296"/>
      <c r="G354" s="297"/>
      <c r="H354" s="303"/>
      <c r="I354" s="298"/>
      <c r="J354" s="298"/>
      <c r="K354" s="299"/>
      <c r="L354" s="304"/>
      <c r="M354" s="300"/>
      <c r="N354" s="301"/>
      <c r="P354" s="193" t="str">
        <f>IF(R354 = "", "", COUNT(R$4:$R354))</f>
        <v/>
      </c>
      <c r="Q354" s="193" t="str">
        <f t="shared" si="51"/>
        <v/>
      </c>
      <c r="R354" s="194" t="str">
        <f t="shared" si="52"/>
        <v/>
      </c>
      <c r="S354" s="195" t="str">
        <f t="shared" si="54"/>
        <v/>
      </c>
      <c r="T354" s="196" t="str">
        <f t="shared" si="55"/>
        <v/>
      </c>
      <c r="U354" s="197" t="str">
        <f t="shared" si="56"/>
        <v/>
      </c>
      <c r="V354" s="198" t="str">
        <f t="shared" si="53"/>
        <v/>
      </c>
      <c r="W354" s="339" t="str">
        <f t="shared" si="57"/>
        <v/>
      </c>
      <c r="X354" s="341" t="str">
        <f t="shared" si="58"/>
        <v/>
      </c>
      <c r="Y354" s="277"/>
      <c r="AR354" t="str">
        <f t="shared" si="59"/>
        <v/>
      </c>
      <c r="AS354" t="str">
        <f t="shared" si="60"/>
        <v/>
      </c>
    </row>
    <row r="355" spans="1:45">
      <c r="A355" s="294"/>
      <c r="B355" s="295"/>
      <c r="C355" s="296"/>
      <c r="D355" s="296"/>
      <c r="E355" s="296"/>
      <c r="F355" s="296"/>
      <c r="G355" s="297"/>
      <c r="H355" s="303"/>
      <c r="I355" s="298"/>
      <c r="J355" s="298"/>
      <c r="K355" s="299"/>
      <c r="L355" s="304"/>
      <c r="M355" s="300"/>
      <c r="N355" s="301"/>
      <c r="P355" s="193" t="str">
        <f>IF(R355 = "", "", COUNT(R$4:$R355))</f>
        <v/>
      </c>
      <c r="Q355" s="193" t="str">
        <f t="shared" si="51"/>
        <v/>
      </c>
      <c r="R355" s="194" t="str">
        <f t="shared" si="52"/>
        <v/>
      </c>
      <c r="S355" s="195" t="str">
        <f t="shared" si="54"/>
        <v/>
      </c>
      <c r="T355" s="196" t="str">
        <f t="shared" si="55"/>
        <v/>
      </c>
      <c r="U355" s="197" t="str">
        <f t="shared" si="56"/>
        <v/>
      </c>
      <c r="V355" s="198" t="str">
        <f t="shared" si="53"/>
        <v/>
      </c>
      <c r="W355" s="339" t="str">
        <f t="shared" si="57"/>
        <v/>
      </c>
      <c r="X355" s="341" t="str">
        <f t="shared" si="58"/>
        <v/>
      </c>
      <c r="Y355" s="277"/>
      <c r="AR355" t="str">
        <f t="shared" si="59"/>
        <v/>
      </c>
      <c r="AS355" t="str">
        <f t="shared" si="60"/>
        <v/>
      </c>
    </row>
    <row r="356" spans="1:45">
      <c r="A356" s="294"/>
      <c r="B356" s="295"/>
      <c r="C356" s="296"/>
      <c r="D356" s="296"/>
      <c r="E356" s="296"/>
      <c r="F356" s="296"/>
      <c r="G356" s="297"/>
      <c r="H356" s="303"/>
      <c r="I356" s="298"/>
      <c r="J356" s="298"/>
      <c r="K356" s="299"/>
      <c r="L356" s="304"/>
      <c r="M356" s="300"/>
      <c r="N356" s="301"/>
      <c r="P356" s="193" t="str">
        <f>IF(R356 = "", "", COUNT(R$4:$R356))</f>
        <v/>
      </c>
      <c r="Q356" s="193" t="str">
        <f t="shared" si="51"/>
        <v/>
      </c>
      <c r="R356" s="194" t="str">
        <f t="shared" si="52"/>
        <v/>
      </c>
      <c r="S356" s="195" t="str">
        <f t="shared" si="54"/>
        <v/>
      </c>
      <c r="T356" s="196" t="str">
        <f t="shared" si="55"/>
        <v/>
      </c>
      <c r="U356" s="197" t="str">
        <f t="shared" si="56"/>
        <v/>
      </c>
      <c r="V356" s="198" t="str">
        <f t="shared" si="53"/>
        <v/>
      </c>
      <c r="W356" s="339" t="str">
        <f t="shared" si="57"/>
        <v/>
      </c>
      <c r="X356" s="341" t="str">
        <f t="shared" si="58"/>
        <v/>
      </c>
      <c r="Y356" s="277"/>
      <c r="AR356" t="str">
        <f t="shared" si="59"/>
        <v/>
      </c>
      <c r="AS356" t="str">
        <f t="shared" si="60"/>
        <v/>
      </c>
    </row>
    <row r="357" spans="1:45">
      <c r="A357" s="294"/>
      <c r="B357" s="295"/>
      <c r="C357" s="296"/>
      <c r="D357" s="296"/>
      <c r="E357" s="296"/>
      <c r="F357" s="296"/>
      <c r="G357" s="297"/>
      <c r="H357" s="303"/>
      <c r="I357" s="298"/>
      <c r="J357" s="298"/>
      <c r="K357" s="299"/>
      <c r="L357" s="304"/>
      <c r="M357" s="300"/>
      <c r="N357" s="301"/>
      <c r="P357" s="193" t="str">
        <f>IF(R357 = "", "", COUNT(R$4:$R357))</f>
        <v/>
      </c>
      <c r="Q357" s="193" t="str">
        <f t="shared" si="51"/>
        <v/>
      </c>
      <c r="R357" s="194" t="str">
        <f t="shared" si="52"/>
        <v/>
      </c>
      <c r="S357" s="195" t="str">
        <f t="shared" si="54"/>
        <v/>
      </c>
      <c r="T357" s="196" t="str">
        <f t="shared" si="55"/>
        <v/>
      </c>
      <c r="U357" s="197" t="str">
        <f t="shared" si="56"/>
        <v/>
      </c>
      <c r="V357" s="198" t="str">
        <f t="shared" si="53"/>
        <v/>
      </c>
      <c r="W357" s="339" t="str">
        <f t="shared" si="57"/>
        <v/>
      </c>
      <c r="X357" s="341" t="str">
        <f t="shared" si="58"/>
        <v/>
      </c>
      <c r="Y357" s="277"/>
      <c r="AR357" t="str">
        <f t="shared" si="59"/>
        <v/>
      </c>
      <c r="AS357" t="str">
        <f t="shared" si="60"/>
        <v/>
      </c>
    </row>
    <row r="358" spans="1:45">
      <c r="A358" s="294"/>
      <c r="B358" s="295"/>
      <c r="C358" s="296"/>
      <c r="D358" s="296"/>
      <c r="E358" s="296"/>
      <c r="F358" s="296"/>
      <c r="G358" s="297"/>
      <c r="H358" s="303"/>
      <c r="I358" s="298"/>
      <c r="J358" s="298"/>
      <c r="K358" s="299"/>
      <c r="L358" s="304"/>
      <c r="M358" s="300"/>
      <c r="N358" s="301"/>
      <c r="P358" s="193" t="str">
        <f>IF(R358 = "", "", COUNT(R$4:$R358))</f>
        <v/>
      </c>
      <c r="Q358" s="193" t="str">
        <f t="shared" si="51"/>
        <v/>
      </c>
      <c r="R358" s="194" t="str">
        <f t="shared" si="52"/>
        <v/>
      </c>
      <c r="S358" s="195" t="str">
        <f t="shared" si="54"/>
        <v/>
      </c>
      <c r="T358" s="196" t="str">
        <f t="shared" si="55"/>
        <v/>
      </c>
      <c r="U358" s="197" t="str">
        <f t="shared" si="56"/>
        <v/>
      </c>
      <c r="V358" s="198" t="str">
        <f t="shared" si="53"/>
        <v/>
      </c>
      <c r="W358" s="339" t="str">
        <f t="shared" si="57"/>
        <v/>
      </c>
      <c r="X358" s="341" t="str">
        <f t="shared" si="58"/>
        <v/>
      </c>
      <c r="Y358" s="277"/>
      <c r="AR358" t="str">
        <f t="shared" si="59"/>
        <v/>
      </c>
      <c r="AS358" t="str">
        <f t="shared" si="60"/>
        <v/>
      </c>
    </row>
    <row r="359" spans="1:45">
      <c r="A359" s="294"/>
      <c r="B359" s="295"/>
      <c r="C359" s="296"/>
      <c r="D359" s="296"/>
      <c r="E359" s="296"/>
      <c r="F359" s="296"/>
      <c r="G359" s="297"/>
      <c r="H359" s="303"/>
      <c r="I359" s="298"/>
      <c r="J359" s="298"/>
      <c r="K359" s="299"/>
      <c r="L359" s="304"/>
      <c r="M359" s="300"/>
      <c r="N359" s="301"/>
      <c r="P359" s="193" t="str">
        <f>IF(R359 = "", "", COUNT(R$4:$R359))</f>
        <v/>
      </c>
      <c r="Q359" s="193" t="str">
        <f t="shared" si="51"/>
        <v/>
      </c>
      <c r="R359" s="194" t="str">
        <f t="shared" si="52"/>
        <v/>
      </c>
      <c r="S359" s="195" t="str">
        <f t="shared" si="54"/>
        <v/>
      </c>
      <c r="T359" s="196" t="str">
        <f t="shared" si="55"/>
        <v/>
      </c>
      <c r="U359" s="197" t="str">
        <f t="shared" si="56"/>
        <v/>
      </c>
      <c r="V359" s="198" t="str">
        <f t="shared" si="53"/>
        <v/>
      </c>
      <c r="W359" s="339" t="str">
        <f t="shared" si="57"/>
        <v/>
      </c>
      <c r="X359" s="341" t="str">
        <f t="shared" si="58"/>
        <v/>
      </c>
      <c r="Y359" s="277"/>
      <c r="AR359" t="str">
        <f t="shared" si="59"/>
        <v/>
      </c>
      <c r="AS359" t="str">
        <f t="shared" si="60"/>
        <v/>
      </c>
    </row>
    <row r="360" spans="1:45">
      <c r="A360" s="294"/>
      <c r="B360" s="295"/>
      <c r="C360" s="296"/>
      <c r="D360" s="296"/>
      <c r="E360" s="296"/>
      <c r="F360" s="296"/>
      <c r="G360" s="297"/>
      <c r="H360" s="303"/>
      <c r="I360" s="298"/>
      <c r="J360" s="298"/>
      <c r="K360" s="299"/>
      <c r="L360" s="304"/>
      <c r="M360" s="300"/>
      <c r="N360" s="301"/>
      <c r="P360" s="193" t="str">
        <f>IF(R360 = "", "", COUNT(R$4:$R360))</f>
        <v/>
      </c>
      <c r="Q360" s="193" t="str">
        <f t="shared" si="51"/>
        <v/>
      </c>
      <c r="R360" s="194" t="str">
        <f t="shared" si="52"/>
        <v/>
      </c>
      <c r="S360" s="195" t="str">
        <f t="shared" si="54"/>
        <v/>
      </c>
      <c r="T360" s="196" t="str">
        <f t="shared" si="55"/>
        <v/>
      </c>
      <c r="U360" s="197" t="str">
        <f t="shared" si="56"/>
        <v/>
      </c>
      <c r="V360" s="198" t="str">
        <f t="shared" si="53"/>
        <v/>
      </c>
      <c r="W360" s="339" t="str">
        <f t="shared" si="57"/>
        <v/>
      </c>
      <c r="X360" s="341" t="str">
        <f t="shared" si="58"/>
        <v/>
      </c>
      <c r="Y360" s="277"/>
      <c r="AR360" t="str">
        <f t="shared" si="59"/>
        <v/>
      </c>
      <c r="AS360" t="str">
        <f t="shared" si="60"/>
        <v/>
      </c>
    </row>
    <row r="361" spans="1:45">
      <c r="A361" s="294"/>
      <c r="B361" s="295"/>
      <c r="C361" s="296"/>
      <c r="D361" s="296"/>
      <c r="E361" s="296"/>
      <c r="F361" s="296"/>
      <c r="G361" s="297"/>
      <c r="H361" s="303"/>
      <c r="I361" s="298"/>
      <c r="J361" s="298"/>
      <c r="K361" s="299"/>
      <c r="L361" s="304"/>
      <c r="M361" s="300"/>
      <c r="N361" s="301"/>
      <c r="P361" s="193" t="str">
        <f>IF(R361 = "", "", COUNT(R$4:$R361))</f>
        <v/>
      </c>
      <c r="Q361" s="193" t="str">
        <f t="shared" si="51"/>
        <v/>
      </c>
      <c r="R361" s="194" t="str">
        <f t="shared" si="52"/>
        <v/>
      </c>
      <c r="S361" s="195" t="str">
        <f t="shared" si="54"/>
        <v/>
      </c>
      <c r="T361" s="196" t="str">
        <f t="shared" si="55"/>
        <v/>
      </c>
      <c r="U361" s="197" t="str">
        <f t="shared" si="56"/>
        <v/>
      </c>
      <c r="V361" s="198" t="str">
        <f t="shared" si="53"/>
        <v/>
      </c>
      <c r="W361" s="339" t="str">
        <f t="shared" si="57"/>
        <v/>
      </c>
      <c r="X361" s="341" t="str">
        <f t="shared" si="58"/>
        <v/>
      </c>
      <c r="Y361" s="277"/>
      <c r="AR361" t="str">
        <f t="shared" si="59"/>
        <v/>
      </c>
      <c r="AS361" t="str">
        <f t="shared" si="60"/>
        <v/>
      </c>
    </row>
    <row r="362" spans="1:45">
      <c r="A362" s="294"/>
      <c r="B362" s="295"/>
      <c r="C362" s="296"/>
      <c r="D362" s="296"/>
      <c r="E362" s="296"/>
      <c r="F362" s="296"/>
      <c r="G362" s="297"/>
      <c r="H362" s="303"/>
      <c r="I362" s="298"/>
      <c r="J362" s="298"/>
      <c r="K362" s="299"/>
      <c r="L362" s="304"/>
      <c r="M362" s="300"/>
      <c r="N362" s="301"/>
      <c r="P362" s="193" t="str">
        <f>IF(R362 = "", "", COUNT(R$4:$R362))</f>
        <v/>
      </c>
      <c r="Q362" s="193" t="str">
        <f t="shared" si="51"/>
        <v/>
      </c>
      <c r="R362" s="194" t="str">
        <f t="shared" si="52"/>
        <v/>
      </c>
      <c r="S362" s="195" t="str">
        <f t="shared" si="54"/>
        <v/>
      </c>
      <c r="T362" s="196" t="str">
        <f t="shared" si="55"/>
        <v/>
      </c>
      <c r="U362" s="197" t="str">
        <f t="shared" si="56"/>
        <v/>
      </c>
      <c r="V362" s="198" t="str">
        <f t="shared" si="53"/>
        <v/>
      </c>
      <c r="W362" s="339" t="str">
        <f t="shared" si="57"/>
        <v/>
      </c>
      <c r="X362" s="341" t="str">
        <f t="shared" si="58"/>
        <v/>
      </c>
      <c r="Y362" s="277"/>
      <c r="AR362" t="str">
        <f t="shared" si="59"/>
        <v/>
      </c>
      <c r="AS362" t="str">
        <f t="shared" si="60"/>
        <v/>
      </c>
    </row>
    <row r="363" spans="1:45">
      <c r="A363" s="294"/>
      <c r="B363" s="295"/>
      <c r="C363" s="296"/>
      <c r="D363" s="296"/>
      <c r="E363" s="296"/>
      <c r="F363" s="296"/>
      <c r="G363" s="297"/>
      <c r="H363" s="303"/>
      <c r="I363" s="298"/>
      <c r="J363" s="298"/>
      <c r="K363" s="299"/>
      <c r="L363" s="304"/>
      <c r="M363" s="300"/>
      <c r="N363" s="301"/>
      <c r="P363" s="193" t="str">
        <f>IF(R363 = "", "", COUNT(R$4:$R363))</f>
        <v/>
      </c>
      <c r="Q363" s="193" t="str">
        <f t="shared" si="51"/>
        <v/>
      </c>
      <c r="R363" s="194" t="str">
        <f t="shared" si="52"/>
        <v/>
      </c>
      <c r="S363" s="195" t="str">
        <f t="shared" si="54"/>
        <v/>
      </c>
      <c r="T363" s="196" t="str">
        <f t="shared" si="55"/>
        <v/>
      </c>
      <c r="U363" s="197" t="str">
        <f t="shared" si="56"/>
        <v/>
      </c>
      <c r="V363" s="198" t="str">
        <f t="shared" si="53"/>
        <v/>
      </c>
      <c r="W363" s="339" t="str">
        <f t="shared" si="57"/>
        <v/>
      </c>
      <c r="X363" s="341" t="str">
        <f t="shared" si="58"/>
        <v/>
      </c>
      <c r="Y363" s="277"/>
      <c r="AR363" t="str">
        <f t="shared" si="59"/>
        <v/>
      </c>
      <c r="AS363" t="str">
        <f t="shared" si="60"/>
        <v/>
      </c>
    </row>
    <row r="364" spans="1:45">
      <c r="A364" s="294"/>
      <c r="B364" s="295"/>
      <c r="C364" s="296"/>
      <c r="D364" s="296"/>
      <c r="E364" s="296"/>
      <c r="F364" s="296"/>
      <c r="G364" s="297"/>
      <c r="H364" s="303"/>
      <c r="I364" s="298"/>
      <c r="J364" s="298"/>
      <c r="K364" s="299"/>
      <c r="L364" s="304"/>
      <c r="M364" s="300"/>
      <c r="N364" s="301"/>
      <c r="P364" s="193" t="str">
        <f>IF(R364 = "", "", COUNT(R$4:$R364))</f>
        <v/>
      </c>
      <c r="Q364" s="193" t="str">
        <f t="shared" si="51"/>
        <v/>
      </c>
      <c r="R364" s="194" t="str">
        <f t="shared" si="52"/>
        <v/>
      </c>
      <c r="S364" s="195" t="str">
        <f t="shared" si="54"/>
        <v/>
      </c>
      <c r="T364" s="196" t="str">
        <f t="shared" si="55"/>
        <v/>
      </c>
      <c r="U364" s="197" t="str">
        <f t="shared" si="56"/>
        <v/>
      </c>
      <c r="V364" s="198" t="str">
        <f t="shared" si="53"/>
        <v/>
      </c>
      <c r="W364" s="339" t="str">
        <f t="shared" si="57"/>
        <v/>
      </c>
      <c r="X364" s="341" t="str">
        <f t="shared" si="58"/>
        <v/>
      </c>
      <c r="Y364" s="277"/>
      <c r="AR364" t="str">
        <f t="shared" si="59"/>
        <v/>
      </c>
      <c r="AS364" t="str">
        <f t="shared" si="60"/>
        <v/>
      </c>
    </row>
    <row r="365" spans="1:45">
      <c r="A365" s="294"/>
      <c r="B365" s="295"/>
      <c r="C365" s="296"/>
      <c r="D365" s="296"/>
      <c r="E365" s="296"/>
      <c r="F365" s="296"/>
      <c r="G365" s="297"/>
      <c r="H365" s="303"/>
      <c r="I365" s="298"/>
      <c r="J365" s="298"/>
      <c r="K365" s="299"/>
      <c r="L365" s="304"/>
      <c r="M365" s="300"/>
      <c r="N365" s="301"/>
      <c r="P365" s="193" t="str">
        <f>IF(R365 = "", "", COUNT(R$4:$R365))</f>
        <v/>
      </c>
      <c r="Q365" s="193" t="str">
        <f t="shared" si="51"/>
        <v/>
      </c>
      <c r="R365" s="194" t="str">
        <f t="shared" si="52"/>
        <v/>
      </c>
      <c r="S365" s="195" t="str">
        <f t="shared" si="54"/>
        <v/>
      </c>
      <c r="T365" s="196" t="str">
        <f t="shared" si="55"/>
        <v/>
      </c>
      <c r="U365" s="197" t="str">
        <f t="shared" si="56"/>
        <v/>
      </c>
      <c r="V365" s="198" t="str">
        <f t="shared" si="53"/>
        <v/>
      </c>
      <c r="W365" s="339" t="str">
        <f t="shared" si="57"/>
        <v/>
      </c>
      <c r="X365" s="341" t="str">
        <f t="shared" si="58"/>
        <v/>
      </c>
      <c r="Y365" s="277"/>
      <c r="AR365" t="str">
        <f t="shared" si="59"/>
        <v/>
      </c>
      <c r="AS365" t="str">
        <f t="shared" si="60"/>
        <v/>
      </c>
    </row>
    <row r="366" spans="1:45">
      <c r="A366" s="294"/>
      <c r="B366" s="295"/>
      <c r="C366" s="296"/>
      <c r="D366" s="296"/>
      <c r="E366" s="296"/>
      <c r="F366" s="296"/>
      <c r="G366" s="297"/>
      <c r="H366" s="303"/>
      <c r="I366" s="298"/>
      <c r="J366" s="298"/>
      <c r="K366" s="299"/>
      <c r="L366" s="304"/>
      <c r="M366" s="300"/>
      <c r="N366" s="301"/>
      <c r="P366" s="193" t="str">
        <f>IF(R366 = "", "", COUNT(R$4:$R366))</f>
        <v/>
      </c>
      <c r="Q366" s="193" t="str">
        <f t="shared" si="51"/>
        <v/>
      </c>
      <c r="R366" s="194" t="str">
        <f t="shared" si="52"/>
        <v/>
      </c>
      <c r="S366" s="195" t="str">
        <f t="shared" si="54"/>
        <v/>
      </c>
      <c r="T366" s="196" t="str">
        <f t="shared" si="55"/>
        <v/>
      </c>
      <c r="U366" s="197" t="str">
        <f t="shared" si="56"/>
        <v/>
      </c>
      <c r="V366" s="198" t="str">
        <f t="shared" si="53"/>
        <v/>
      </c>
      <c r="W366" s="339" t="str">
        <f t="shared" si="57"/>
        <v/>
      </c>
      <c r="X366" s="341" t="str">
        <f t="shared" si="58"/>
        <v/>
      </c>
      <c r="Y366" s="277"/>
      <c r="AR366" t="str">
        <f t="shared" si="59"/>
        <v/>
      </c>
      <c r="AS366" t="str">
        <f t="shared" si="60"/>
        <v/>
      </c>
    </row>
    <row r="367" spans="1:45">
      <c r="A367" s="294"/>
      <c r="B367" s="295"/>
      <c r="C367" s="296"/>
      <c r="D367" s="296"/>
      <c r="E367" s="296"/>
      <c r="F367" s="296"/>
      <c r="G367" s="297"/>
      <c r="H367" s="303"/>
      <c r="I367" s="298"/>
      <c r="J367" s="298"/>
      <c r="K367" s="299"/>
      <c r="L367" s="304"/>
      <c r="M367" s="300"/>
      <c r="N367" s="301"/>
      <c r="P367" s="193" t="str">
        <f>IF(R367 = "", "", COUNT(R$4:$R367))</f>
        <v/>
      </c>
      <c r="Q367" s="193" t="str">
        <f t="shared" si="51"/>
        <v/>
      </c>
      <c r="R367" s="194" t="str">
        <f t="shared" si="52"/>
        <v/>
      </c>
      <c r="S367" s="195" t="str">
        <f t="shared" si="54"/>
        <v/>
      </c>
      <c r="T367" s="196" t="str">
        <f t="shared" si="55"/>
        <v/>
      </c>
      <c r="U367" s="197" t="str">
        <f t="shared" si="56"/>
        <v/>
      </c>
      <c r="V367" s="198" t="str">
        <f t="shared" si="53"/>
        <v/>
      </c>
      <c r="W367" s="339" t="str">
        <f t="shared" si="57"/>
        <v/>
      </c>
      <c r="X367" s="341" t="str">
        <f t="shared" si="58"/>
        <v/>
      </c>
      <c r="Y367" s="277"/>
      <c r="AR367" t="str">
        <f t="shared" si="59"/>
        <v/>
      </c>
      <c r="AS367" t="str">
        <f t="shared" si="60"/>
        <v/>
      </c>
    </row>
    <row r="368" spans="1:45">
      <c r="A368" s="294"/>
      <c r="B368" s="295"/>
      <c r="C368" s="296"/>
      <c r="D368" s="296"/>
      <c r="E368" s="296"/>
      <c r="F368" s="296"/>
      <c r="G368" s="297"/>
      <c r="H368" s="303"/>
      <c r="I368" s="298"/>
      <c r="J368" s="298"/>
      <c r="K368" s="299"/>
      <c r="L368" s="304"/>
      <c r="M368" s="300"/>
      <c r="N368" s="301"/>
      <c r="P368" s="193" t="str">
        <f>IF(R368 = "", "", COUNT(R$4:$R368))</f>
        <v/>
      </c>
      <c r="Q368" s="193" t="str">
        <f t="shared" si="51"/>
        <v/>
      </c>
      <c r="R368" s="194" t="str">
        <f t="shared" si="52"/>
        <v/>
      </c>
      <c r="S368" s="195" t="str">
        <f t="shared" si="54"/>
        <v/>
      </c>
      <c r="T368" s="196" t="str">
        <f t="shared" si="55"/>
        <v/>
      </c>
      <c r="U368" s="197" t="str">
        <f t="shared" si="56"/>
        <v/>
      </c>
      <c r="V368" s="198" t="str">
        <f t="shared" si="53"/>
        <v/>
      </c>
      <c r="W368" s="339" t="str">
        <f t="shared" si="57"/>
        <v/>
      </c>
      <c r="X368" s="341" t="str">
        <f t="shared" si="58"/>
        <v/>
      </c>
      <c r="Y368" s="277"/>
      <c r="AR368" t="str">
        <f t="shared" si="59"/>
        <v/>
      </c>
      <c r="AS368" t="str">
        <f t="shared" si="60"/>
        <v/>
      </c>
    </row>
    <row r="369" spans="1:45">
      <c r="A369" s="294"/>
      <c r="B369" s="295"/>
      <c r="C369" s="296"/>
      <c r="D369" s="296"/>
      <c r="E369" s="296"/>
      <c r="F369" s="296"/>
      <c r="G369" s="297"/>
      <c r="H369" s="303"/>
      <c r="I369" s="298"/>
      <c r="J369" s="298"/>
      <c r="K369" s="299"/>
      <c r="L369" s="304"/>
      <c r="M369" s="300"/>
      <c r="N369" s="301"/>
      <c r="P369" s="193" t="str">
        <f>IF(R369 = "", "", COUNT(R$4:$R369))</f>
        <v/>
      </c>
      <c r="Q369" s="193" t="str">
        <f t="shared" si="51"/>
        <v/>
      </c>
      <c r="R369" s="194" t="str">
        <f t="shared" si="52"/>
        <v/>
      </c>
      <c r="S369" s="195" t="str">
        <f t="shared" si="54"/>
        <v/>
      </c>
      <c r="T369" s="196" t="str">
        <f t="shared" si="55"/>
        <v/>
      </c>
      <c r="U369" s="197" t="str">
        <f t="shared" si="56"/>
        <v/>
      </c>
      <c r="V369" s="198" t="str">
        <f t="shared" si="53"/>
        <v/>
      </c>
      <c r="W369" s="339" t="str">
        <f t="shared" si="57"/>
        <v/>
      </c>
      <c r="X369" s="341" t="str">
        <f t="shared" si="58"/>
        <v/>
      </c>
      <c r="Y369" s="277"/>
      <c r="AR369" t="str">
        <f t="shared" si="59"/>
        <v/>
      </c>
      <c r="AS369" t="str">
        <f t="shared" si="60"/>
        <v/>
      </c>
    </row>
    <row r="370" spans="1:45">
      <c r="A370" s="294"/>
      <c r="B370" s="295"/>
      <c r="C370" s="296"/>
      <c r="D370" s="296"/>
      <c r="E370" s="296"/>
      <c r="F370" s="296"/>
      <c r="G370" s="297"/>
      <c r="H370" s="303"/>
      <c r="I370" s="298"/>
      <c r="J370" s="298"/>
      <c r="K370" s="299"/>
      <c r="L370" s="304"/>
      <c r="M370" s="300"/>
      <c r="N370" s="301"/>
      <c r="P370" s="193" t="str">
        <f>IF(R370 = "", "", COUNT(R$4:$R370))</f>
        <v/>
      </c>
      <c r="Q370" s="193" t="str">
        <f t="shared" si="51"/>
        <v/>
      </c>
      <c r="R370" s="194" t="str">
        <f t="shared" si="52"/>
        <v/>
      </c>
      <c r="S370" s="195" t="str">
        <f t="shared" si="54"/>
        <v/>
      </c>
      <c r="T370" s="196" t="str">
        <f t="shared" si="55"/>
        <v/>
      </c>
      <c r="U370" s="197" t="str">
        <f t="shared" si="56"/>
        <v/>
      </c>
      <c r="V370" s="198" t="str">
        <f t="shared" si="53"/>
        <v/>
      </c>
      <c r="W370" s="339" t="str">
        <f t="shared" si="57"/>
        <v/>
      </c>
      <c r="X370" s="341" t="str">
        <f t="shared" si="58"/>
        <v/>
      </c>
      <c r="Y370" s="277"/>
      <c r="AR370" t="str">
        <f t="shared" si="59"/>
        <v/>
      </c>
      <c r="AS370" t="str">
        <f t="shared" si="60"/>
        <v/>
      </c>
    </row>
    <row r="371" spans="1:45">
      <c r="A371" s="294"/>
      <c r="B371" s="295"/>
      <c r="C371" s="296"/>
      <c r="D371" s="296"/>
      <c r="E371" s="296"/>
      <c r="F371" s="296"/>
      <c r="G371" s="297"/>
      <c r="H371" s="303"/>
      <c r="I371" s="298"/>
      <c r="J371" s="298"/>
      <c r="K371" s="299"/>
      <c r="L371" s="304"/>
      <c r="M371" s="300"/>
      <c r="N371" s="301"/>
      <c r="P371" s="193" t="str">
        <f>IF(R371 = "", "", COUNT(R$4:$R371))</f>
        <v/>
      </c>
      <c r="Q371" s="193" t="str">
        <f t="shared" si="51"/>
        <v/>
      </c>
      <c r="R371" s="194" t="str">
        <f t="shared" si="52"/>
        <v/>
      </c>
      <c r="S371" s="195" t="str">
        <f t="shared" si="54"/>
        <v/>
      </c>
      <c r="T371" s="196" t="str">
        <f t="shared" si="55"/>
        <v/>
      </c>
      <c r="U371" s="197" t="str">
        <f t="shared" si="56"/>
        <v/>
      </c>
      <c r="V371" s="198" t="str">
        <f t="shared" si="53"/>
        <v/>
      </c>
      <c r="W371" s="339" t="str">
        <f t="shared" si="57"/>
        <v/>
      </c>
      <c r="X371" s="341" t="str">
        <f t="shared" si="58"/>
        <v/>
      </c>
      <c r="Y371" s="277"/>
      <c r="AR371" t="str">
        <f t="shared" si="59"/>
        <v/>
      </c>
      <c r="AS371" t="str">
        <f t="shared" si="60"/>
        <v/>
      </c>
    </row>
    <row r="372" spans="1:45">
      <c r="A372" s="294"/>
      <c r="B372" s="295"/>
      <c r="C372" s="296"/>
      <c r="D372" s="296"/>
      <c r="E372" s="296"/>
      <c r="F372" s="296"/>
      <c r="G372" s="297"/>
      <c r="H372" s="303"/>
      <c r="I372" s="298"/>
      <c r="J372" s="298"/>
      <c r="K372" s="299"/>
      <c r="L372" s="304"/>
      <c r="M372" s="300"/>
      <c r="N372" s="301"/>
      <c r="P372" s="193" t="str">
        <f>IF(R372 = "", "", COUNT(R$4:$R372))</f>
        <v/>
      </c>
      <c r="Q372" s="193" t="str">
        <f t="shared" si="51"/>
        <v/>
      </c>
      <c r="R372" s="194" t="str">
        <f t="shared" si="52"/>
        <v/>
      </c>
      <c r="S372" s="195" t="str">
        <f t="shared" si="54"/>
        <v/>
      </c>
      <c r="T372" s="196" t="str">
        <f t="shared" si="55"/>
        <v/>
      </c>
      <c r="U372" s="197" t="str">
        <f t="shared" si="56"/>
        <v/>
      </c>
      <c r="V372" s="198" t="str">
        <f t="shared" si="53"/>
        <v/>
      </c>
      <c r="W372" s="339" t="str">
        <f t="shared" si="57"/>
        <v/>
      </c>
      <c r="X372" s="341" t="str">
        <f t="shared" si="58"/>
        <v/>
      </c>
      <c r="Y372" s="277"/>
      <c r="AR372" t="str">
        <f t="shared" si="59"/>
        <v/>
      </c>
      <c r="AS372" t="str">
        <f t="shared" si="60"/>
        <v/>
      </c>
    </row>
    <row r="373" spans="1:45">
      <c r="A373" s="294"/>
      <c r="B373" s="295"/>
      <c r="C373" s="296"/>
      <c r="D373" s="296"/>
      <c r="E373" s="296"/>
      <c r="F373" s="296"/>
      <c r="G373" s="297"/>
      <c r="H373" s="303"/>
      <c r="I373" s="298"/>
      <c r="J373" s="298"/>
      <c r="K373" s="299"/>
      <c r="L373" s="304"/>
      <c r="M373" s="300"/>
      <c r="N373" s="301"/>
      <c r="P373" s="193" t="str">
        <f>IF(R373 = "", "", COUNT(R$4:$R373))</f>
        <v/>
      </c>
      <c r="Q373" s="193" t="str">
        <f t="shared" si="51"/>
        <v/>
      </c>
      <c r="R373" s="194" t="str">
        <f t="shared" si="52"/>
        <v/>
      </c>
      <c r="S373" s="195" t="str">
        <f t="shared" si="54"/>
        <v/>
      </c>
      <c r="T373" s="196" t="str">
        <f t="shared" si="55"/>
        <v/>
      </c>
      <c r="U373" s="197" t="str">
        <f t="shared" si="56"/>
        <v/>
      </c>
      <c r="V373" s="198" t="str">
        <f t="shared" si="53"/>
        <v/>
      </c>
      <c r="W373" s="339" t="str">
        <f t="shared" si="57"/>
        <v/>
      </c>
      <c r="X373" s="341" t="str">
        <f t="shared" si="58"/>
        <v/>
      </c>
      <c r="Y373" s="277"/>
      <c r="AR373" t="str">
        <f t="shared" si="59"/>
        <v/>
      </c>
      <c r="AS373" t="str">
        <f t="shared" si="60"/>
        <v/>
      </c>
    </row>
    <row r="374" spans="1:45">
      <c r="A374" s="294"/>
      <c r="B374" s="295"/>
      <c r="C374" s="296"/>
      <c r="D374" s="296"/>
      <c r="E374" s="296"/>
      <c r="F374" s="296"/>
      <c r="G374" s="297"/>
      <c r="H374" s="303"/>
      <c r="I374" s="298"/>
      <c r="J374" s="298"/>
      <c r="K374" s="299"/>
      <c r="L374" s="304"/>
      <c r="M374" s="300"/>
      <c r="N374" s="301"/>
      <c r="P374" s="193" t="str">
        <f>IF(R374 = "", "", COUNT(R$4:$R374))</f>
        <v/>
      </c>
      <c r="Q374" s="193" t="str">
        <f t="shared" si="51"/>
        <v/>
      </c>
      <c r="R374" s="194" t="str">
        <f t="shared" si="52"/>
        <v/>
      </c>
      <c r="S374" s="195" t="str">
        <f t="shared" si="54"/>
        <v/>
      </c>
      <c r="T374" s="196" t="str">
        <f t="shared" si="55"/>
        <v/>
      </c>
      <c r="U374" s="197" t="str">
        <f t="shared" si="56"/>
        <v/>
      </c>
      <c r="V374" s="198" t="str">
        <f t="shared" si="53"/>
        <v/>
      </c>
      <c r="W374" s="339" t="str">
        <f t="shared" si="57"/>
        <v/>
      </c>
      <c r="X374" s="341" t="str">
        <f t="shared" si="58"/>
        <v/>
      </c>
      <c r="Y374" s="277"/>
      <c r="AR374" t="str">
        <f t="shared" si="59"/>
        <v/>
      </c>
      <c r="AS374" t="str">
        <f t="shared" si="60"/>
        <v/>
      </c>
    </row>
    <row r="375" spans="1:45">
      <c r="A375" s="294"/>
      <c r="B375" s="295"/>
      <c r="C375" s="296"/>
      <c r="D375" s="296"/>
      <c r="E375" s="296"/>
      <c r="F375" s="296"/>
      <c r="G375" s="297"/>
      <c r="H375" s="303"/>
      <c r="I375" s="298"/>
      <c r="J375" s="298"/>
      <c r="K375" s="299"/>
      <c r="L375" s="304"/>
      <c r="M375" s="300"/>
      <c r="N375" s="301"/>
      <c r="P375" s="193" t="str">
        <f>IF(R375 = "", "", COUNT(R$4:$R375))</f>
        <v/>
      </c>
      <c r="Q375" s="193" t="str">
        <f t="shared" si="51"/>
        <v/>
      </c>
      <c r="R375" s="194" t="str">
        <f t="shared" si="52"/>
        <v/>
      </c>
      <c r="S375" s="195" t="str">
        <f t="shared" si="54"/>
        <v/>
      </c>
      <c r="T375" s="196" t="str">
        <f t="shared" si="55"/>
        <v/>
      </c>
      <c r="U375" s="197" t="str">
        <f t="shared" si="56"/>
        <v/>
      </c>
      <c r="V375" s="198" t="str">
        <f t="shared" si="53"/>
        <v/>
      </c>
      <c r="W375" s="339" t="str">
        <f t="shared" si="57"/>
        <v/>
      </c>
      <c r="X375" s="341" t="str">
        <f t="shared" si="58"/>
        <v/>
      </c>
      <c r="Y375" s="277"/>
      <c r="AR375" t="str">
        <f t="shared" si="59"/>
        <v/>
      </c>
      <c r="AS375" t="str">
        <f t="shared" si="60"/>
        <v/>
      </c>
    </row>
    <row r="376" spans="1:45">
      <c r="A376" s="294"/>
      <c r="B376" s="295"/>
      <c r="C376" s="296"/>
      <c r="D376" s="296"/>
      <c r="E376" s="296"/>
      <c r="F376" s="296"/>
      <c r="G376" s="297"/>
      <c r="H376" s="303"/>
      <c r="I376" s="298"/>
      <c r="J376" s="298"/>
      <c r="K376" s="299"/>
      <c r="L376" s="304"/>
      <c r="M376" s="300"/>
      <c r="N376" s="301"/>
      <c r="P376" s="193" t="str">
        <f>IF(R376 = "", "", COUNT(R$4:$R376))</f>
        <v/>
      </c>
      <c r="Q376" s="193" t="str">
        <f t="shared" si="51"/>
        <v/>
      </c>
      <c r="R376" s="194" t="str">
        <f t="shared" si="52"/>
        <v/>
      </c>
      <c r="S376" s="195" t="str">
        <f t="shared" si="54"/>
        <v/>
      </c>
      <c r="T376" s="196" t="str">
        <f t="shared" si="55"/>
        <v/>
      </c>
      <c r="U376" s="197" t="str">
        <f t="shared" si="56"/>
        <v/>
      </c>
      <c r="V376" s="198" t="str">
        <f t="shared" si="53"/>
        <v/>
      </c>
      <c r="W376" s="339" t="str">
        <f t="shared" si="57"/>
        <v/>
      </c>
      <c r="X376" s="341" t="str">
        <f t="shared" si="58"/>
        <v/>
      </c>
      <c r="Y376" s="277"/>
      <c r="AR376" t="str">
        <f t="shared" si="59"/>
        <v/>
      </c>
      <c r="AS376" t="str">
        <f t="shared" si="60"/>
        <v/>
      </c>
    </row>
    <row r="377" spans="1:45">
      <c r="A377" s="294"/>
      <c r="B377" s="295"/>
      <c r="C377" s="296"/>
      <c r="D377" s="296"/>
      <c r="E377" s="296"/>
      <c r="F377" s="296"/>
      <c r="G377" s="297"/>
      <c r="H377" s="303"/>
      <c r="I377" s="298"/>
      <c r="J377" s="298"/>
      <c r="K377" s="299"/>
      <c r="L377" s="304"/>
      <c r="M377" s="300"/>
      <c r="N377" s="301"/>
      <c r="P377" s="193" t="str">
        <f>IF(R377 = "", "", COUNT(R$4:$R377))</f>
        <v/>
      </c>
      <c r="Q377" s="193" t="str">
        <f t="shared" si="51"/>
        <v/>
      </c>
      <c r="R377" s="194" t="str">
        <f t="shared" si="52"/>
        <v/>
      </c>
      <c r="S377" s="195" t="str">
        <f t="shared" si="54"/>
        <v/>
      </c>
      <c r="T377" s="196" t="str">
        <f t="shared" si="55"/>
        <v/>
      </c>
      <c r="U377" s="197" t="str">
        <f t="shared" si="56"/>
        <v/>
      </c>
      <c r="V377" s="198" t="str">
        <f t="shared" si="53"/>
        <v/>
      </c>
      <c r="W377" s="339" t="str">
        <f t="shared" si="57"/>
        <v/>
      </c>
      <c r="X377" s="341" t="str">
        <f t="shared" si="58"/>
        <v/>
      </c>
      <c r="Y377" s="277"/>
      <c r="AR377" t="str">
        <f t="shared" si="59"/>
        <v/>
      </c>
      <c r="AS377" t="str">
        <f t="shared" si="60"/>
        <v/>
      </c>
    </row>
    <row r="378" spans="1:45">
      <c r="A378" s="294"/>
      <c r="B378" s="295"/>
      <c r="C378" s="296"/>
      <c r="D378" s="296"/>
      <c r="E378" s="296"/>
      <c r="F378" s="296"/>
      <c r="G378" s="297"/>
      <c r="H378" s="303"/>
      <c r="I378" s="298"/>
      <c r="J378" s="298"/>
      <c r="K378" s="299"/>
      <c r="L378" s="304"/>
      <c r="M378" s="300"/>
      <c r="N378" s="301"/>
      <c r="P378" s="193" t="str">
        <f>IF(R378 = "", "", COUNT(R$4:$R378))</f>
        <v/>
      </c>
      <c r="Q378" s="193" t="str">
        <f t="shared" si="51"/>
        <v/>
      </c>
      <c r="R378" s="194" t="str">
        <f t="shared" si="52"/>
        <v/>
      </c>
      <c r="S378" s="195" t="str">
        <f t="shared" si="54"/>
        <v/>
      </c>
      <c r="T378" s="196" t="str">
        <f t="shared" si="55"/>
        <v/>
      </c>
      <c r="U378" s="197" t="str">
        <f t="shared" si="56"/>
        <v/>
      </c>
      <c r="V378" s="198" t="str">
        <f t="shared" si="53"/>
        <v/>
      </c>
      <c r="W378" s="339" t="str">
        <f t="shared" si="57"/>
        <v/>
      </c>
      <c r="X378" s="341" t="str">
        <f t="shared" si="58"/>
        <v/>
      </c>
      <c r="Y378" s="277"/>
      <c r="AR378" t="str">
        <f t="shared" si="59"/>
        <v/>
      </c>
      <c r="AS378" t="str">
        <f t="shared" si="60"/>
        <v/>
      </c>
    </row>
    <row r="379" spans="1:45">
      <c r="A379" s="294"/>
      <c r="B379" s="295"/>
      <c r="C379" s="296"/>
      <c r="D379" s="296"/>
      <c r="E379" s="296"/>
      <c r="F379" s="296"/>
      <c r="G379" s="297"/>
      <c r="H379" s="303"/>
      <c r="I379" s="298"/>
      <c r="J379" s="298"/>
      <c r="K379" s="299"/>
      <c r="L379" s="304"/>
      <c r="M379" s="300"/>
      <c r="N379" s="301"/>
      <c r="P379" s="193" t="str">
        <f>IF(R379 = "", "", COUNT(R$4:$R379))</f>
        <v/>
      </c>
      <c r="Q379" s="193" t="str">
        <f t="shared" si="51"/>
        <v/>
      </c>
      <c r="R379" s="194" t="str">
        <f t="shared" si="52"/>
        <v/>
      </c>
      <c r="S379" s="195" t="str">
        <f t="shared" si="54"/>
        <v/>
      </c>
      <c r="T379" s="196" t="str">
        <f t="shared" si="55"/>
        <v/>
      </c>
      <c r="U379" s="197" t="str">
        <f t="shared" si="56"/>
        <v/>
      </c>
      <c r="V379" s="198" t="str">
        <f t="shared" si="53"/>
        <v/>
      </c>
      <c r="W379" s="339" t="str">
        <f t="shared" si="57"/>
        <v/>
      </c>
      <c r="X379" s="341" t="str">
        <f t="shared" si="58"/>
        <v/>
      </c>
      <c r="Y379" s="277"/>
      <c r="AR379" t="str">
        <f t="shared" si="59"/>
        <v/>
      </c>
      <c r="AS379" t="str">
        <f t="shared" si="60"/>
        <v/>
      </c>
    </row>
    <row r="380" spans="1:45">
      <c r="A380" s="294"/>
      <c r="B380" s="295"/>
      <c r="C380" s="296"/>
      <c r="D380" s="296"/>
      <c r="E380" s="296"/>
      <c r="F380" s="296"/>
      <c r="G380" s="297"/>
      <c r="H380" s="303"/>
      <c r="I380" s="298"/>
      <c r="J380" s="298"/>
      <c r="K380" s="299"/>
      <c r="L380" s="304"/>
      <c r="M380" s="300"/>
      <c r="N380" s="301"/>
      <c r="P380" s="193" t="str">
        <f>IF(R380 = "", "", COUNT(R$4:$R380))</f>
        <v/>
      </c>
      <c r="Q380" s="193" t="str">
        <f t="shared" si="51"/>
        <v/>
      </c>
      <c r="R380" s="194" t="str">
        <f t="shared" si="52"/>
        <v/>
      </c>
      <c r="S380" s="195" t="str">
        <f t="shared" si="54"/>
        <v/>
      </c>
      <c r="T380" s="196" t="str">
        <f t="shared" si="55"/>
        <v/>
      </c>
      <c r="U380" s="197" t="str">
        <f t="shared" si="56"/>
        <v/>
      </c>
      <c r="V380" s="198" t="str">
        <f t="shared" si="53"/>
        <v/>
      </c>
      <c r="W380" s="339" t="str">
        <f t="shared" si="57"/>
        <v/>
      </c>
      <c r="X380" s="341" t="str">
        <f t="shared" si="58"/>
        <v/>
      </c>
      <c r="Y380" s="277"/>
      <c r="AR380" t="str">
        <f t="shared" si="59"/>
        <v/>
      </c>
      <c r="AS380" t="str">
        <f t="shared" si="60"/>
        <v/>
      </c>
    </row>
    <row r="381" spans="1:45">
      <c r="A381" s="294"/>
      <c r="B381" s="295"/>
      <c r="C381" s="296"/>
      <c r="D381" s="296"/>
      <c r="E381" s="296"/>
      <c r="F381" s="296"/>
      <c r="G381" s="297"/>
      <c r="H381" s="303"/>
      <c r="I381" s="298"/>
      <c r="J381" s="298"/>
      <c r="K381" s="299"/>
      <c r="L381" s="304"/>
      <c r="M381" s="300"/>
      <c r="N381" s="301"/>
      <c r="P381" s="193" t="str">
        <f>IF(R381 = "", "", COUNT(R$4:$R381))</f>
        <v/>
      </c>
      <c r="Q381" s="193" t="str">
        <f t="shared" si="51"/>
        <v/>
      </c>
      <c r="R381" s="194" t="str">
        <f t="shared" si="52"/>
        <v/>
      </c>
      <c r="S381" s="195" t="str">
        <f t="shared" si="54"/>
        <v/>
      </c>
      <c r="T381" s="196" t="str">
        <f t="shared" si="55"/>
        <v/>
      </c>
      <c r="U381" s="197" t="str">
        <f t="shared" si="56"/>
        <v/>
      </c>
      <c r="V381" s="198" t="str">
        <f t="shared" si="53"/>
        <v/>
      </c>
      <c r="W381" s="339" t="str">
        <f t="shared" si="57"/>
        <v/>
      </c>
      <c r="X381" s="341" t="str">
        <f t="shared" si="58"/>
        <v/>
      </c>
      <c r="Y381" s="277"/>
      <c r="AR381" t="str">
        <f t="shared" si="59"/>
        <v/>
      </c>
      <c r="AS381" t="str">
        <f t="shared" si="60"/>
        <v/>
      </c>
    </row>
    <row r="382" spans="1:45">
      <c r="A382" s="294"/>
      <c r="B382" s="295"/>
      <c r="C382" s="296"/>
      <c r="D382" s="296"/>
      <c r="E382" s="296"/>
      <c r="F382" s="296"/>
      <c r="G382" s="297"/>
      <c r="H382" s="303"/>
      <c r="I382" s="298"/>
      <c r="J382" s="298"/>
      <c r="K382" s="299"/>
      <c r="L382" s="304"/>
      <c r="M382" s="300"/>
      <c r="N382" s="301"/>
      <c r="P382" s="193" t="str">
        <f>IF(R382 = "", "", COUNT(R$4:$R382))</f>
        <v/>
      </c>
      <c r="Q382" s="193" t="str">
        <f t="shared" si="51"/>
        <v/>
      </c>
      <c r="R382" s="194" t="str">
        <f t="shared" si="52"/>
        <v/>
      </c>
      <c r="S382" s="195" t="str">
        <f t="shared" si="54"/>
        <v/>
      </c>
      <c r="T382" s="196" t="str">
        <f t="shared" si="55"/>
        <v/>
      </c>
      <c r="U382" s="197" t="str">
        <f t="shared" si="56"/>
        <v/>
      </c>
      <c r="V382" s="198" t="str">
        <f t="shared" si="53"/>
        <v/>
      </c>
      <c r="W382" s="339" t="str">
        <f t="shared" si="57"/>
        <v/>
      </c>
      <c r="X382" s="341" t="str">
        <f t="shared" si="58"/>
        <v/>
      </c>
      <c r="Y382" s="277"/>
      <c r="AR382" t="str">
        <f t="shared" si="59"/>
        <v/>
      </c>
      <c r="AS382" t="str">
        <f t="shared" si="60"/>
        <v/>
      </c>
    </row>
    <row r="383" spans="1:45">
      <c r="A383" s="294"/>
      <c r="B383" s="295"/>
      <c r="C383" s="296"/>
      <c r="D383" s="296"/>
      <c r="E383" s="296"/>
      <c r="F383" s="296"/>
      <c r="G383" s="297"/>
      <c r="H383" s="303"/>
      <c r="I383" s="298"/>
      <c r="J383" s="298"/>
      <c r="K383" s="299"/>
      <c r="L383" s="304"/>
      <c r="M383" s="300"/>
      <c r="N383" s="301"/>
      <c r="P383" s="193" t="str">
        <f>IF(R383 = "", "", COUNT(R$4:$R383))</f>
        <v/>
      </c>
      <c r="Q383" s="193" t="str">
        <f t="shared" si="51"/>
        <v/>
      </c>
      <c r="R383" s="194" t="str">
        <f t="shared" si="52"/>
        <v/>
      </c>
      <c r="S383" s="195" t="str">
        <f t="shared" si="54"/>
        <v/>
      </c>
      <c r="T383" s="196" t="str">
        <f t="shared" si="55"/>
        <v/>
      </c>
      <c r="U383" s="197" t="str">
        <f t="shared" si="56"/>
        <v/>
      </c>
      <c r="V383" s="198" t="str">
        <f t="shared" si="53"/>
        <v/>
      </c>
      <c r="W383" s="339" t="str">
        <f t="shared" si="57"/>
        <v/>
      </c>
      <c r="X383" s="341" t="str">
        <f t="shared" si="58"/>
        <v/>
      </c>
      <c r="Y383" s="277"/>
      <c r="AR383" t="str">
        <f t="shared" si="59"/>
        <v/>
      </c>
      <c r="AS383" t="str">
        <f t="shared" si="60"/>
        <v/>
      </c>
    </row>
    <row r="384" spans="1:45">
      <c r="A384" s="294"/>
      <c r="B384" s="295"/>
      <c r="C384" s="296"/>
      <c r="D384" s="296"/>
      <c r="E384" s="296"/>
      <c r="F384" s="296"/>
      <c r="G384" s="297"/>
      <c r="H384" s="303"/>
      <c r="I384" s="298"/>
      <c r="J384" s="298"/>
      <c r="K384" s="299"/>
      <c r="L384" s="304"/>
      <c r="M384" s="300"/>
      <c r="N384" s="301"/>
      <c r="P384" s="193" t="str">
        <f>IF(R384 = "", "", COUNT(R$4:$R384))</f>
        <v/>
      </c>
      <c r="Q384" s="193" t="str">
        <f t="shared" si="51"/>
        <v/>
      </c>
      <c r="R384" s="194" t="str">
        <f t="shared" si="52"/>
        <v/>
      </c>
      <c r="S384" s="195" t="str">
        <f t="shared" si="54"/>
        <v/>
      </c>
      <c r="T384" s="196" t="str">
        <f t="shared" si="55"/>
        <v/>
      </c>
      <c r="U384" s="197" t="str">
        <f t="shared" si="56"/>
        <v/>
      </c>
      <c r="V384" s="198" t="str">
        <f t="shared" si="53"/>
        <v/>
      </c>
      <c r="W384" s="339" t="str">
        <f t="shared" si="57"/>
        <v/>
      </c>
      <c r="X384" s="341" t="str">
        <f t="shared" si="58"/>
        <v/>
      </c>
      <c r="Y384" s="277"/>
      <c r="AR384" t="str">
        <f t="shared" si="59"/>
        <v/>
      </c>
      <c r="AS384" t="str">
        <f t="shared" si="60"/>
        <v/>
      </c>
    </row>
    <row r="385" spans="1:45">
      <c r="A385" s="294"/>
      <c r="B385" s="295"/>
      <c r="C385" s="296"/>
      <c r="D385" s="296"/>
      <c r="E385" s="296"/>
      <c r="F385" s="296"/>
      <c r="G385" s="297"/>
      <c r="H385" s="303"/>
      <c r="I385" s="298"/>
      <c r="J385" s="298"/>
      <c r="K385" s="299"/>
      <c r="L385" s="304"/>
      <c r="M385" s="300"/>
      <c r="N385" s="301"/>
      <c r="P385" s="193" t="str">
        <f>IF(R385 = "", "", COUNT(R$4:$R385))</f>
        <v/>
      </c>
      <c r="Q385" s="193" t="str">
        <f t="shared" si="51"/>
        <v/>
      </c>
      <c r="R385" s="194" t="str">
        <f t="shared" si="52"/>
        <v/>
      </c>
      <c r="S385" s="195" t="str">
        <f t="shared" si="54"/>
        <v/>
      </c>
      <c r="T385" s="196" t="str">
        <f t="shared" si="55"/>
        <v/>
      </c>
      <c r="U385" s="197" t="str">
        <f t="shared" si="56"/>
        <v/>
      </c>
      <c r="V385" s="198" t="str">
        <f t="shared" si="53"/>
        <v/>
      </c>
      <c r="W385" s="339" t="str">
        <f t="shared" si="57"/>
        <v/>
      </c>
      <c r="X385" s="341" t="str">
        <f t="shared" si="58"/>
        <v/>
      </c>
      <c r="Y385" s="277"/>
      <c r="AR385" t="str">
        <f t="shared" si="59"/>
        <v/>
      </c>
      <c r="AS385" t="str">
        <f t="shared" si="60"/>
        <v/>
      </c>
    </row>
    <row r="386" spans="1:45">
      <c r="A386" s="294"/>
      <c r="B386" s="295"/>
      <c r="C386" s="296"/>
      <c r="D386" s="296"/>
      <c r="E386" s="296"/>
      <c r="F386" s="296"/>
      <c r="G386" s="297"/>
      <c r="H386" s="303"/>
      <c r="I386" s="298"/>
      <c r="J386" s="298"/>
      <c r="K386" s="299"/>
      <c r="L386" s="304"/>
      <c r="M386" s="300"/>
      <c r="N386" s="301"/>
      <c r="P386" s="193" t="str">
        <f>IF(R386 = "", "", COUNT(R$4:$R386))</f>
        <v/>
      </c>
      <c r="Q386" s="193" t="str">
        <f t="shared" si="51"/>
        <v/>
      </c>
      <c r="R386" s="194" t="str">
        <f t="shared" si="52"/>
        <v/>
      </c>
      <c r="S386" s="195" t="str">
        <f t="shared" si="54"/>
        <v/>
      </c>
      <c r="T386" s="196" t="str">
        <f t="shared" si="55"/>
        <v/>
      </c>
      <c r="U386" s="197" t="str">
        <f t="shared" si="56"/>
        <v/>
      </c>
      <c r="V386" s="198" t="str">
        <f t="shared" si="53"/>
        <v/>
      </c>
      <c r="W386" s="339" t="str">
        <f t="shared" si="57"/>
        <v/>
      </c>
      <c r="X386" s="341" t="str">
        <f t="shared" si="58"/>
        <v/>
      </c>
      <c r="Y386" s="277"/>
      <c r="AR386" t="str">
        <f t="shared" si="59"/>
        <v/>
      </c>
      <c r="AS386" t="str">
        <f t="shared" si="60"/>
        <v/>
      </c>
    </row>
    <row r="387" spans="1:45">
      <c r="A387" s="294"/>
      <c r="B387" s="295"/>
      <c r="C387" s="296"/>
      <c r="D387" s="296"/>
      <c r="E387" s="296"/>
      <c r="F387" s="296"/>
      <c r="G387" s="297"/>
      <c r="H387" s="303"/>
      <c r="I387" s="298"/>
      <c r="J387" s="298"/>
      <c r="K387" s="299"/>
      <c r="L387" s="304"/>
      <c r="M387" s="300"/>
      <c r="N387" s="301"/>
      <c r="P387" s="193" t="str">
        <f>IF(R387 = "", "", COUNT(R$4:$R387))</f>
        <v/>
      </c>
      <c r="Q387" s="193" t="str">
        <f t="shared" si="51"/>
        <v/>
      </c>
      <c r="R387" s="194" t="str">
        <f t="shared" si="52"/>
        <v/>
      </c>
      <c r="S387" s="195" t="str">
        <f t="shared" si="54"/>
        <v/>
      </c>
      <c r="T387" s="196" t="str">
        <f t="shared" si="55"/>
        <v/>
      </c>
      <c r="U387" s="197" t="str">
        <f t="shared" si="56"/>
        <v/>
      </c>
      <c r="V387" s="198" t="str">
        <f t="shared" si="53"/>
        <v/>
      </c>
      <c r="W387" s="339" t="str">
        <f t="shared" si="57"/>
        <v/>
      </c>
      <c r="X387" s="341" t="str">
        <f t="shared" si="58"/>
        <v/>
      </c>
      <c r="Y387" s="277"/>
      <c r="AR387" t="str">
        <f t="shared" si="59"/>
        <v/>
      </c>
      <c r="AS387" t="str">
        <f t="shared" si="60"/>
        <v/>
      </c>
    </row>
    <row r="388" spans="1:45">
      <c r="A388" s="294"/>
      <c r="B388" s="295"/>
      <c r="C388" s="296"/>
      <c r="D388" s="296"/>
      <c r="E388" s="296"/>
      <c r="F388" s="296"/>
      <c r="G388" s="297"/>
      <c r="H388" s="303"/>
      <c r="I388" s="298"/>
      <c r="J388" s="298"/>
      <c r="K388" s="299"/>
      <c r="L388" s="304"/>
      <c r="M388" s="300"/>
      <c r="N388" s="301"/>
      <c r="P388" s="193" t="str">
        <f>IF(R388 = "", "", COUNT(R$4:$R388))</f>
        <v/>
      </c>
      <c r="Q388" s="193" t="str">
        <f t="shared" ref="Q388:Q451" si="61">IF(C388 &gt; 0, YEAR(B388), "")</f>
        <v/>
      </c>
      <c r="R388" s="194" t="str">
        <f t="shared" ref="R388:R451" si="62">IF(A388="", "", IF(G388="",1,IF(G388="O",1,IF(G388="C",8.4,IF(G388="B",8.4,IF(G388="A",76.8,IF(G388="K",76.8,"ERR")))))))</f>
        <v/>
      </c>
      <c r="S388" s="195" t="str">
        <f t="shared" si="54"/>
        <v/>
      </c>
      <c r="T388" s="196" t="str">
        <f t="shared" si="55"/>
        <v/>
      </c>
      <c r="U388" s="197" t="str">
        <f t="shared" si="56"/>
        <v/>
      </c>
      <c r="V388" s="198" t="str">
        <f t="shared" ref="V388:V451" si="63">IF(IF(M388&lt;&gt;"",G388,"")=0, "O", IF(M388&lt;&gt;"",G388,""))</f>
        <v/>
      </c>
      <c r="W388" s="339" t="str">
        <f t="shared" si="57"/>
        <v/>
      </c>
      <c r="X388" s="341" t="str">
        <f t="shared" si="58"/>
        <v/>
      </c>
      <c r="Y388" s="277"/>
      <c r="AR388" t="str">
        <f t="shared" si="59"/>
        <v/>
      </c>
      <c r="AS388" t="str">
        <f t="shared" si="60"/>
        <v/>
      </c>
    </row>
    <row r="389" spans="1:45">
      <c r="A389" s="294"/>
      <c r="B389" s="295"/>
      <c r="C389" s="296"/>
      <c r="D389" s="296"/>
      <c r="E389" s="296"/>
      <c r="F389" s="296"/>
      <c r="G389" s="297"/>
      <c r="H389" s="303"/>
      <c r="I389" s="298"/>
      <c r="J389" s="298"/>
      <c r="K389" s="299"/>
      <c r="L389" s="304"/>
      <c r="M389" s="300"/>
      <c r="N389" s="301"/>
      <c r="P389" s="193" t="str">
        <f>IF(R389 = "", "", COUNT(R$4:$R389))</f>
        <v/>
      </c>
      <c r="Q389" s="193" t="str">
        <f t="shared" si="61"/>
        <v/>
      </c>
      <c r="R389" s="194" t="str">
        <f t="shared" si="62"/>
        <v/>
      </c>
      <c r="S389" s="195" t="str">
        <f t="shared" ref="S389:S452" si="64">IF(L389&lt;&gt;"",R389,"")</f>
        <v/>
      </c>
      <c r="T389" s="196" t="str">
        <f t="shared" ref="T389:T452" si="65">IF(IF(L389&lt;&gt;"",G389,"")=0, "O", IF(L389&lt;&gt;"",G389,""))</f>
        <v/>
      </c>
      <c r="U389" s="197" t="str">
        <f t="shared" ref="U389:U452" si="66">IF(M389&lt;&gt;"",R389,"")</f>
        <v/>
      </c>
      <c r="V389" s="198" t="str">
        <f t="shared" si="63"/>
        <v/>
      </c>
      <c r="W389" s="339" t="str">
        <f t="shared" ref="W389:W452" si="67">IF(N389&lt;&gt;"",R389,"")</f>
        <v/>
      </c>
      <c r="X389" s="341" t="str">
        <f t="shared" ref="X389:X452" si="68">IF(IF(N389&lt;&gt;"",G389,"")=0, "O", IF(N389&lt;&gt;"",G389,""))</f>
        <v/>
      </c>
      <c r="Y389" s="277"/>
      <c r="AR389" t="str">
        <f t="shared" ref="AR389:AR452" si="69">IF(P389&gt;0, P389, "")</f>
        <v/>
      </c>
      <c r="AS389" t="str">
        <f t="shared" ref="AS389:AS452" si="70">IF(OR(L389="Y",M389="Y",N389="Y"),"Y","")</f>
        <v/>
      </c>
    </row>
    <row r="390" spans="1:45">
      <c r="A390" s="294"/>
      <c r="B390" s="295"/>
      <c r="C390" s="296"/>
      <c r="D390" s="296"/>
      <c r="E390" s="296"/>
      <c r="F390" s="296"/>
      <c r="G390" s="297"/>
      <c r="H390" s="303"/>
      <c r="I390" s="298"/>
      <c r="J390" s="298"/>
      <c r="K390" s="299"/>
      <c r="L390" s="304"/>
      <c r="M390" s="300"/>
      <c r="N390" s="301"/>
      <c r="P390" s="193" t="str">
        <f>IF(R390 = "", "", COUNT(R$4:$R390))</f>
        <v/>
      </c>
      <c r="Q390" s="193" t="str">
        <f t="shared" si="61"/>
        <v/>
      </c>
      <c r="R390" s="194" t="str">
        <f t="shared" si="62"/>
        <v/>
      </c>
      <c r="S390" s="195" t="str">
        <f t="shared" si="64"/>
        <v/>
      </c>
      <c r="T390" s="196" t="str">
        <f t="shared" si="65"/>
        <v/>
      </c>
      <c r="U390" s="197" t="str">
        <f t="shared" si="66"/>
        <v/>
      </c>
      <c r="V390" s="198" t="str">
        <f t="shared" si="63"/>
        <v/>
      </c>
      <c r="W390" s="339" t="str">
        <f t="shared" si="67"/>
        <v/>
      </c>
      <c r="X390" s="341" t="str">
        <f t="shared" si="68"/>
        <v/>
      </c>
      <c r="Y390" s="277"/>
      <c r="AR390" t="str">
        <f t="shared" si="69"/>
        <v/>
      </c>
      <c r="AS390" t="str">
        <f t="shared" si="70"/>
        <v/>
      </c>
    </row>
    <row r="391" spans="1:45">
      <c r="A391" s="294"/>
      <c r="B391" s="295"/>
      <c r="C391" s="296"/>
      <c r="D391" s="296"/>
      <c r="E391" s="296"/>
      <c r="F391" s="296"/>
      <c r="G391" s="297"/>
      <c r="H391" s="303"/>
      <c r="I391" s="298"/>
      <c r="J391" s="298"/>
      <c r="K391" s="299"/>
      <c r="L391" s="304"/>
      <c r="M391" s="300"/>
      <c r="N391" s="301"/>
      <c r="P391" s="193" t="str">
        <f>IF(R391 = "", "", COUNT(R$4:$R391))</f>
        <v/>
      </c>
      <c r="Q391" s="193" t="str">
        <f t="shared" si="61"/>
        <v/>
      </c>
      <c r="R391" s="194" t="str">
        <f t="shared" si="62"/>
        <v/>
      </c>
      <c r="S391" s="195" t="str">
        <f t="shared" si="64"/>
        <v/>
      </c>
      <c r="T391" s="196" t="str">
        <f t="shared" si="65"/>
        <v/>
      </c>
      <c r="U391" s="197" t="str">
        <f t="shared" si="66"/>
        <v/>
      </c>
      <c r="V391" s="198" t="str">
        <f t="shared" si="63"/>
        <v/>
      </c>
      <c r="W391" s="339" t="str">
        <f t="shared" si="67"/>
        <v/>
      </c>
      <c r="X391" s="341" t="str">
        <f t="shared" si="68"/>
        <v/>
      </c>
      <c r="Y391" s="277"/>
      <c r="AR391" t="str">
        <f t="shared" si="69"/>
        <v/>
      </c>
      <c r="AS391" t="str">
        <f t="shared" si="70"/>
        <v/>
      </c>
    </row>
    <row r="392" spans="1:45">
      <c r="A392" s="294"/>
      <c r="B392" s="295"/>
      <c r="C392" s="296"/>
      <c r="D392" s="296"/>
      <c r="E392" s="296"/>
      <c r="F392" s="296"/>
      <c r="G392" s="297"/>
      <c r="H392" s="303"/>
      <c r="I392" s="298"/>
      <c r="J392" s="298"/>
      <c r="K392" s="299"/>
      <c r="L392" s="304"/>
      <c r="M392" s="300"/>
      <c r="N392" s="301"/>
      <c r="P392" s="193" t="str">
        <f>IF(R392 = "", "", COUNT(R$4:$R392))</f>
        <v/>
      </c>
      <c r="Q392" s="193" t="str">
        <f t="shared" si="61"/>
        <v/>
      </c>
      <c r="R392" s="194" t="str">
        <f t="shared" si="62"/>
        <v/>
      </c>
      <c r="S392" s="195" t="str">
        <f t="shared" si="64"/>
        <v/>
      </c>
      <c r="T392" s="196" t="str">
        <f t="shared" si="65"/>
        <v/>
      </c>
      <c r="U392" s="197" t="str">
        <f t="shared" si="66"/>
        <v/>
      </c>
      <c r="V392" s="198" t="str">
        <f t="shared" si="63"/>
        <v/>
      </c>
      <c r="W392" s="339" t="str">
        <f t="shared" si="67"/>
        <v/>
      </c>
      <c r="X392" s="341" t="str">
        <f t="shared" si="68"/>
        <v/>
      </c>
      <c r="Y392" s="277"/>
      <c r="AR392" t="str">
        <f t="shared" si="69"/>
        <v/>
      </c>
      <c r="AS392" t="str">
        <f t="shared" si="70"/>
        <v/>
      </c>
    </row>
    <row r="393" spans="1:45">
      <c r="A393" s="294"/>
      <c r="B393" s="295"/>
      <c r="C393" s="296"/>
      <c r="D393" s="296"/>
      <c r="E393" s="296"/>
      <c r="F393" s="296"/>
      <c r="G393" s="297"/>
      <c r="H393" s="303"/>
      <c r="I393" s="298"/>
      <c r="J393" s="298"/>
      <c r="K393" s="299"/>
      <c r="L393" s="304"/>
      <c r="M393" s="300"/>
      <c r="N393" s="301"/>
      <c r="P393" s="193" t="str">
        <f>IF(R393 = "", "", COUNT(R$4:$R393))</f>
        <v/>
      </c>
      <c r="Q393" s="193" t="str">
        <f t="shared" si="61"/>
        <v/>
      </c>
      <c r="R393" s="194" t="str">
        <f t="shared" si="62"/>
        <v/>
      </c>
      <c r="S393" s="195" t="str">
        <f t="shared" si="64"/>
        <v/>
      </c>
      <c r="T393" s="196" t="str">
        <f t="shared" si="65"/>
        <v/>
      </c>
      <c r="U393" s="197" t="str">
        <f t="shared" si="66"/>
        <v/>
      </c>
      <c r="V393" s="198" t="str">
        <f t="shared" si="63"/>
        <v/>
      </c>
      <c r="W393" s="339" t="str">
        <f t="shared" si="67"/>
        <v/>
      </c>
      <c r="X393" s="341" t="str">
        <f t="shared" si="68"/>
        <v/>
      </c>
      <c r="Y393" s="277"/>
      <c r="AR393" t="str">
        <f t="shared" si="69"/>
        <v/>
      </c>
      <c r="AS393" t="str">
        <f t="shared" si="70"/>
        <v/>
      </c>
    </row>
    <row r="394" spans="1:45">
      <c r="A394" s="294"/>
      <c r="B394" s="295"/>
      <c r="C394" s="296"/>
      <c r="D394" s="296"/>
      <c r="E394" s="296"/>
      <c r="F394" s="296"/>
      <c r="G394" s="297"/>
      <c r="H394" s="303"/>
      <c r="I394" s="298"/>
      <c r="J394" s="298"/>
      <c r="K394" s="299"/>
      <c r="L394" s="304"/>
      <c r="M394" s="300"/>
      <c r="N394" s="301"/>
      <c r="P394" s="193" t="str">
        <f>IF(R394 = "", "", COUNT(R$4:$R394))</f>
        <v/>
      </c>
      <c r="Q394" s="193" t="str">
        <f t="shared" si="61"/>
        <v/>
      </c>
      <c r="R394" s="194" t="str">
        <f t="shared" si="62"/>
        <v/>
      </c>
      <c r="S394" s="195" t="str">
        <f t="shared" si="64"/>
        <v/>
      </c>
      <c r="T394" s="196" t="str">
        <f t="shared" si="65"/>
        <v/>
      </c>
      <c r="U394" s="197" t="str">
        <f t="shared" si="66"/>
        <v/>
      </c>
      <c r="V394" s="198" t="str">
        <f t="shared" si="63"/>
        <v/>
      </c>
      <c r="W394" s="339" t="str">
        <f t="shared" si="67"/>
        <v/>
      </c>
      <c r="X394" s="341" t="str">
        <f t="shared" si="68"/>
        <v/>
      </c>
      <c r="Y394" s="277"/>
      <c r="AR394" t="str">
        <f t="shared" si="69"/>
        <v/>
      </c>
      <c r="AS394" t="str">
        <f t="shared" si="70"/>
        <v/>
      </c>
    </row>
    <row r="395" spans="1:45">
      <c r="A395" s="294"/>
      <c r="B395" s="295"/>
      <c r="C395" s="296"/>
      <c r="D395" s="296"/>
      <c r="E395" s="296"/>
      <c r="F395" s="296"/>
      <c r="G395" s="297"/>
      <c r="H395" s="303"/>
      <c r="I395" s="298"/>
      <c r="J395" s="298"/>
      <c r="K395" s="299"/>
      <c r="L395" s="304"/>
      <c r="M395" s="300"/>
      <c r="N395" s="301"/>
      <c r="P395" s="193" t="str">
        <f>IF(R395 = "", "", COUNT(R$4:$R395))</f>
        <v/>
      </c>
      <c r="Q395" s="193" t="str">
        <f t="shared" si="61"/>
        <v/>
      </c>
      <c r="R395" s="194" t="str">
        <f t="shared" si="62"/>
        <v/>
      </c>
      <c r="S395" s="195" t="str">
        <f t="shared" si="64"/>
        <v/>
      </c>
      <c r="T395" s="196" t="str">
        <f t="shared" si="65"/>
        <v/>
      </c>
      <c r="U395" s="197" t="str">
        <f t="shared" si="66"/>
        <v/>
      </c>
      <c r="V395" s="198" t="str">
        <f t="shared" si="63"/>
        <v/>
      </c>
      <c r="W395" s="339" t="str">
        <f t="shared" si="67"/>
        <v/>
      </c>
      <c r="X395" s="341" t="str">
        <f t="shared" si="68"/>
        <v/>
      </c>
      <c r="Y395" s="277"/>
      <c r="AR395" t="str">
        <f t="shared" si="69"/>
        <v/>
      </c>
      <c r="AS395" t="str">
        <f t="shared" si="70"/>
        <v/>
      </c>
    </row>
    <row r="396" spans="1:45">
      <c r="A396" s="294"/>
      <c r="B396" s="295"/>
      <c r="C396" s="296"/>
      <c r="D396" s="296"/>
      <c r="E396" s="296"/>
      <c r="F396" s="296"/>
      <c r="G396" s="297"/>
      <c r="H396" s="303"/>
      <c r="I396" s="298"/>
      <c r="J396" s="298"/>
      <c r="K396" s="299"/>
      <c r="L396" s="304"/>
      <c r="M396" s="300"/>
      <c r="N396" s="301"/>
      <c r="P396" s="193" t="str">
        <f>IF(R396 = "", "", COUNT(R$4:$R396))</f>
        <v/>
      </c>
      <c r="Q396" s="193" t="str">
        <f t="shared" si="61"/>
        <v/>
      </c>
      <c r="R396" s="194" t="str">
        <f t="shared" si="62"/>
        <v/>
      </c>
      <c r="S396" s="195" t="str">
        <f t="shared" si="64"/>
        <v/>
      </c>
      <c r="T396" s="196" t="str">
        <f t="shared" si="65"/>
        <v/>
      </c>
      <c r="U396" s="197" t="str">
        <f t="shared" si="66"/>
        <v/>
      </c>
      <c r="V396" s="198" t="str">
        <f t="shared" si="63"/>
        <v/>
      </c>
      <c r="W396" s="339" t="str">
        <f t="shared" si="67"/>
        <v/>
      </c>
      <c r="X396" s="341" t="str">
        <f t="shared" si="68"/>
        <v/>
      </c>
      <c r="Y396" s="277"/>
      <c r="AR396" t="str">
        <f t="shared" si="69"/>
        <v/>
      </c>
      <c r="AS396" t="str">
        <f t="shared" si="70"/>
        <v/>
      </c>
    </row>
    <row r="397" spans="1:45">
      <c r="A397" s="294"/>
      <c r="B397" s="295"/>
      <c r="C397" s="296"/>
      <c r="D397" s="296"/>
      <c r="E397" s="296"/>
      <c r="F397" s="296"/>
      <c r="G397" s="297"/>
      <c r="H397" s="303"/>
      <c r="I397" s="298"/>
      <c r="J397" s="298"/>
      <c r="K397" s="299"/>
      <c r="L397" s="304"/>
      <c r="M397" s="300"/>
      <c r="N397" s="301"/>
      <c r="P397" s="193" t="str">
        <f>IF(R397 = "", "", COUNT(R$4:$R397))</f>
        <v/>
      </c>
      <c r="Q397" s="193" t="str">
        <f t="shared" si="61"/>
        <v/>
      </c>
      <c r="R397" s="194" t="str">
        <f t="shared" si="62"/>
        <v/>
      </c>
      <c r="S397" s="195" t="str">
        <f t="shared" si="64"/>
        <v/>
      </c>
      <c r="T397" s="196" t="str">
        <f t="shared" si="65"/>
        <v/>
      </c>
      <c r="U397" s="197" t="str">
        <f t="shared" si="66"/>
        <v/>
      </c>
      <c r="V397" s="198" t="str">
        <f t="shared" si="63"/>
        <v/>
      </c>
      <c r="W397" s="339" t="str">
        <f t="shared" si="67"/>
        <v/>
      </c>
      <c r="X397" s="341" t="str">
        <f t="shared" si="68"/>
        <v/>
      </c>
      <c r="Y397" s="277"/>
      <c r="AR397" t="str">
        <f t="shared" si="69"/>
        <v/>
      </c>
      <c r="AS397" t="str">
        <f t="shared" si="70"/>
        <v/>
      </c>
    </row>
    <row r="398" spans="1:45">
      <c r="A398" s="294"/>
      <c r="B398" s="295"/>
      <c r="C398" s="296"/>
      <c r="D398" s="296"/>
      <c r="E398" s="296"/>
      <c r="F398" s="296"/>
      <c r="G398" s="297"/>
      <c r="H398" s="303"/>
      <c r="I398" s="298"/>
      <c r="J398" s="298"/>
      <c r="K398" s="299"/>
      <c r="L398" s="304"/>
      <c r="M398" s="300"/>
      <c r="N398" s="301"/>
      <c r="P398" s="193" t="str">
        <f>IF(R398 = "", "", COUNT(R$4:$R398))</f>
        <v/>
      </c>
      <c r="Q398" s="193" t="str">
        <f t="shared" si="61"/>
        <v/>
      </c>
      <c r="R398" s="194" t="str">
        <f t="shared" si="62"/>
        <v/>
      </c>
      <c r="S398" s="195" t="str">
        <f t="shared" si="64"/>
        <v/>
      </c>
      <c r="T398" s="196" t="str">
        <f t="shared" si="65"/>
        <v/>
      </c>
      <c r="U398" s="197" t="str">
        <f t="shared" si="66"/>
        <v/>
      </c>
      <c r="V398" s="198" t="str">
        <f t="shared" si="63"/>
        <v/>
      </c>
      <c r="W398" s="339" t="str">
        <f t="shared" si="67"/>
        <v/>
      </c>
      <c r="X398" s="341" t="str">
        <f t="shared" si="68"/>
        <v/>
      </c>
      <c r="Y398" s="277"/>
      <c r="AR398" t="str">
        <f t="shared" si="69"/>
        <v/>
      </c>
      <c r="AS398" t="str">
        <f t="shared" si="70"/>
        <v/>
      </c>
    </row>
    <row r="399" spans="1:45">
      <c r="A399" s="294"/>
      <c r="B399" s="295"/>
      <c r="C399" s="296"/>
      <c r="D399" s="296"/>
      <c r="E399" s="296"/>
      <c r="F399" s="296"/>
      <c r="G399" s="297"/>
      <c r="H399" s="303"/>
      <c r="I399" s="298"/>
      <c r="J399" s="298"/>
      <c r="K399" s="299"/>
      <c r="L399" s="304"/>
      <c r="M399" s="300"/>
      <c r="N399" s="301"/>
      <c r="P399" s="193" t="str">
        <f>IF(R399 = "", "", COUNT(R$4:$R399))</f>
        <v/>
      </c>
      <c r="Q399" s="193" t="str">
        <f t="shared" si="61"/>
        <v/>
      </c>
      <c r="R399" s="194" t="str">
        <f t="shared" si="62"/>
        <v/>
      </c>
      <c r="S399" s="195" t="str">
        <f t="shared" si="64"/>
        <v/>
      </c>
      <c r="T399" s="196" t="str">
        <f t="shared" si="65"/>
        <v/>
      </c>
      <c r="U399" s="197" t="str">
        <f t="shared" si="66"/>
        <v/>
      </c>
      <c r="V399" s="198" t="str">
        <f t="shared" si="63"/>
        <v/>
      </c>
      <c r="W399" s="339" t="str">
        <f t="shared" si="67"/>
        <v/>
      </c>
      <c r="X399" s="341" t="str">
        <f t="shared" si="68"/>
        <v/>
      </c>
      <c r="Y399" s="277"/>
      <c r="AR399" t="str">
        <f t="shared" si="69"/>
        <v/>
      </c>
      <c r="AS399" t="str">
        <f t="shared" si="70"/>
        <v/>
      </c>
    </row>
    <row r="400" spans="1:45">
      <c r="A400" s="294"/>
      <c r="B400" s="295"/>
      <c r="C400" s="296"/>
      <c r="D400" s="296"/>
      <c r="E400" s="296"/>
      <c r="F400" s="296"/>
      <c r="G400" s="297"/>
      <c r="H400" s="303"/>
      <c r="I400" s="298"/>
      <c r="J400" s="298"/>
      <c r="K400" s="299"/>
      <c r="L400" s="304"/>
      <c r="M400" s="300"/>
      <c r="N400" s="301"/>
      <c r="P400" s="193" t="str">
        <f>IF(R400 = "", "", COUNT(R$4:$R400))</f>
        <v/>
      </c>
      <c r="Q400" s="193" t="str">
        <f t="shared" si="61"/>
        <v/>
      </c>
      <c r="R400" s="194" t="str">
        <f t="shared" si="62"/>
        <v/>
      </c>
      <c r="S400" s="195" t="str">
        <f t="shared" si="64"/>
        <v/>
      </c>
      <c r="T400" s="196" t="str">
        <f t="shared" si="65"/>
        <v/>
      </c>
      <c r="U400" s="197" t="str">
        <f t="shared" si="66"/>
        <v/>
      </c>
      <c r="V400" s="198" t="str">
        <f t="shared" si="63"/>
        <v/>
      </c>
      <c r="W400" s="339" t="str">
        <f t="shared" si="67"/>
        <v/>
      </c>
      <c r="X400" s="341" t="str">
        <f t="shared" si="68"/>
        <v/>
      </c>
      <c r="Y400" s="277"/>
      <c r="AR400" t="str">
        <f t="shared" si="69"/>
        <v/>
      </c>
      <c r="AS400" t="str">
        <f t="shared" si="70"/>
        <v/>
      </c>
    </row>
    <row r="401" spans="1:45">
      <c r="A401" s="294"/>
      <c r="B401" s="295"/>
      <c r="C401" s="296"/>
      <c r="D401" s="296"/>
      <c r="E401" s="296"/>
      <c r="F401" s="296"/>
      <c r="G401" s="297"/>
      <c r="H401" s="303"/>
      <c r="I401" s="298"/>
      <c r="J401" s="298"/>
      <c r="K401" s="299"/>
      <c r="L401" s="304"/>
      <c r="M401" s="300"/>
      <c r="N401" s="301"/>
      <c r="P401" s="193" t="str">
        <f>IF(R401 = "", "", COUNT(R$4:$R401))</f>
        <v/>
      </c>
      <c r="Q401" s="193" t="str">
        <f t="shared" si="61"/>
        <v/>
      </c>
      <c r="R401" s="194" t="str">
        <f t="shared" si="62"/>
        <v/>
      </c>
      <c r="S401" s="195" t="str">
        <f t="shared" si="64"/>
        <v/>
      </c>
      <c r="T401" s="196" t="str">
        <f t="shared" si="65"/>
        <v/>
      </c>
      <c r="U401" s="197" t="str">
        <f t="shared" si="66"/>
        <v/>
      </c>
      <c r="V401" s="198" t="str">
        <f t="shared" si="63"/>
        <v/>
      </c>
      <c r="W401" s="339" t="str">
        <f t="shared" si="67"/>
        <v/>
      </c>
      <c r="X401" s="341" t="str">
        <f t="shared" si="68"/>
        <v/>
      </c>
      <c r="Y401" s="277"/>
      <c r="AR401" t="str">
        <f t="shared" si="69"/>
        <v/>
      </c>
      <c r="AS401" t="str">
        <f t="shared" si="70"/>
        <v/>
      </c>
    </row>
    <row r="402" spans="1:45">
      <c r="A402" s="294"/>
      <c r="B402" s="295"/>
      <c r="C402" s="296"/>
      <c r="D402" s="296"/>
      <c r="E402" s="296"/>
      <c r="F402" s="296"/>
      <c r="G402" s="297"/>
      <c r="H402" s="303"/>
      <c r="I402" s="298"/>
      <c r="J402" s="298"/>
      <c r="K402" s="299"/>
      <c r="L402" s="304"/>
      <c r="M402" s="300"/>
      <c r="N402" s="301"/>
      <c r="P402" s="193" t="str">
        <f>IF(R402 = "", "", COUNT(R$4:$R402))</f>
        <v/>
      </c>
      <c r="Q402" s="193" t="str">
        <f t="shared" si="61"/>
        <v/>
      </c>
      <c r="R402" s="194" t="str">
        <f t="shared" si="62"/>
        <v/>
      </c>
      <c r="S402" s="195" t="str">
        <f t="shared" si="64"/>
        <v/>
      </c>
      <c r="T402" s="196" t="str">
        <f t="shared" si="65"/>
        <v/>
      </c>
      <c r="U402" s="197" t="str">
        <f t="shared" si="66"/>
        <v/>
      </c>
      <c r="V402" s="198" t="str">
        <f t="shared" si="63"/>
        <v/>
      </c>
      <c r="W402" s="339" t="str">
        <f t="shared" si="67"/>
        <v/>
      </c>
      <c r="X402" s="341" t="str">
        <f t="shared" si="68"/>
        <v/>
      </c>
      <c r="Y402" s="277"/>
      <c r="AR402" t="str">
        <f t="shared" si="69"/>
        <v/>
      </c>
      <c r="AS402" t="str">
        <f t="shared" si="70"/>
        <v/>
      </c>
    </row>
    <row r="403" spans="1:45">
      <c r="A403" s="294"/>
      <c r="B403" s="295"/>
      <c r="C403" s="296"/>
      <c r="D403" s="296"/>
      <c r="E403" s="296"/>
      <c r="F403" s="296"/>
      <c r="G403" s="297"/>
      <c r="H403" s="303"/>
      <c r="I403" s="298"/>
      <c r="J403" s="298"/>
      <c r="K403" s="299"/>
      <c r="L403" s="304"/>
      <c r="M403" s="300"/>
      <c r="N403" s="301"/>
      <c r="P403" s="193" t="str">
        <f>IF(R403 = "", "", COUNT(R$4:$R403))</f>
        <v/>
      </c>
      <c r="Q403" s="193" t="str">
        <f t="shared" si="61"/>
        <v/>
      </c>
      <c r="R403" s="194" t="str">
        <f t="shared" si="62"/>
        <v/>
      </c>
      <c r="S403" s="195" t="str">
        <f t="shared" si="64"/>
        <v/>
      </c>
      <c r="T403" s="196" t="str">
        <f t="shared" si="65"/>
        <v/>
      </c>
      <c r="U403" s="197" t="str">
        <f t="shared" si="66"/>
        <v/>
      </c>
      <c r="V403" s="198" t="str">
        <f t="shared" si="63"/>
        <v/>
      </c>
      <c r="W403" s="339" t="str">
        <f t="shared" si="67"/>
        <v/>
      </c>
      <c r="X403" s="341" t="str">
        <f t="shared" si="68"/>
        <v/>
      </c>
      <c r="Y403" s="277"/>
      <c r="AR403" t="str">
        <f t="shared" si="69"/>
        <v/>
      </c>
      <c r="AS403" t="str">
        <f t="shared" si="70"/>
        <v/>
      </c>
    </row>
    <row r="404" spans="1:45">
      <c r="A404" s="294"/>
      <c r="B404" s="295"/>
      <c r="C404" s="296"/>
      <c r="D404" s="296"/>
      <c r="E404" s="296"/>
      <c r="F404" s="296"/>
      <c r="G404" s="297"/>
      <c r="H404" s="303"/>
      <c r="I404" s="298"/>
      <c r="J404" s="298"/>
      <c r="K404" s="299"/>
      <c r="L404" s="304"/>
      <c r="M404" s="300"/>
      <c r="N404" s="301"/>
      <c r="P404" s="193" t="str">
        <f>IF(R404 = "", "", COUNT(R$4:$R404))</f>
        <v/>
      </c>
      <c r="Q404" s="193" t="str">
        <f t="shared" si="61"/>
        <v/>
      </c>
      <c r="R404" s="194" t="str">
        <f t="shared" si="62"/>
        <v/>
      </c>
      <c r="S404" s="195" t="str">
        <f t="shared" si="64"/>
        <v/>
      </c>
      <c r="T404" s="196" t="str">
        <f t="shared" si="65"/>
        <v/>
      </c>
      <c r="U404" s="197" t="str">
        <f t="shared" si="66"/>
        <v/>
      </c>
      <c r="V404" s="198" t="str">
        <f t="shared" si="63"/>
        <v/>
      </c>
      <c r="W404" s="339" t="str">
        <f t="shared" si="67"/>
        <v/>
      </c>
      <c r="X404" s="341" t="str">
        <f t="shared" si="68"/>
        <v/>
      </c>
      <c r="Y404" s="277"/>
      <c r="AR404" t="str">
        <f t="shared" si="69"/>
        <v/>
      </c>
      <c r="AS404" t="str">
        <f t="shared" si="70"/>
        <v/>
      </c>
    </row>
    <row r="405" spans="1:45">
      <c r="A405" s="294"/>
      <c r="B405" s="295"/>
      <c r="C405" s="296"/>
      <c r="D405" s="296"/>
      <c r="E405" s="296"/>
      <c r="F405" s="296"/>
      <c r="G405" s="297"/>
      <c r="H405" s="303"/>
      <c r="I405" s="298"/>
      <c r="J405" s="298"/>
      <c r="K405" s="299"/>
      <c r="L405" s="304"/>
      <c r="M405" s="300"/>
      <c r="N405" s="301"/>
      <c r="P405" s="193" t="str">
        <f>IF(R405 = "", "", COUNT(R$4:$R405))</f>
        <v/>
      </c>
      <c r="Q405" s="193" t="str">
        <f t="shared" si="61"/>
        <v/>
      </c>
      <c r="R405" s="194" t="str">
        <f t="shared" si="62"/>
        <v/>
      </c>
      <c r="S405" s="195" t="str">
        <f t="shared" si="64"/>
        <v/>
      </c>
      <c r="T405" s="196" t="str">
        <f t="shared" si="65"/>
        <v/>
      </c>
      <c r="U405" s="197" t="str">
        <f t="shared" si="66"/>
        <v/>
      </c>
      <c r="V405" s="198" t="str">
        <f t="shared" si="63"/>
        <v/>
      </c>
      <c r="W405" s="339" t="str">
        <f t="shared" si="67"/>
        <v/>
      </c>
      <c r="X405" s="341" t="str">
        <f t="shared" si="68"/>
        <v/>
      </c>
      <c r="Y405" s="277"/>
      <c r="AR405" t="str">
        <f t="shared" si="69"/>
        <v/>
      </c>
      <c r="AS405" t="str">
        <f t="shared" si="70"/>
        <v/>
      </c>
    </row>
    <row r="406" spans="1:45">
      <c r="A406" s="294"/>
      <c r="B406" s="295"/>
      <c r="C406" s="296"/>
      <c r="D406" s="296"/>
      <c r="E406" s="296"/>
      <c r="F406" s="296"/>
      <c r="G406" s="297"/>
      <c r="H406" s="303"/>
      <c r="I406" s="298"/>
      <c r="J406" s="298"/>
      <c r="K406" s="299"/>
      <c r="L406" s="304"/>
      <c r="M406" s="300"/>
      <c r="N406" s="301"/>
      <c r="P406" s="193" t="str">
        <f>IF(R406 = "", "", COUNT(R$4:$R406))</f>
        <v/>
      </c>
      <c r="Q406" s="193" t="str">
        <f t="shared" si="61"/>
        <v/>
      </c>
      <c r="R406" s="194" t="str">
        <f t="shared" si="62"/>
        <v/>
      </c>
      <c r="S406" s="195" t="str">
        <f t="shared" si="64"/>
        <v/>
      </c>
      <c r="T406" s="196" t="str">
        <f t="shared" si="65"/>
        <v/>
      </c>
      <c r="U406" s="197" t="str">
        <f t="shared" si="66"/>
        <v/>
      </c>
      <c r="V406" s="198" t="str">
        <f t="shared" si="63"/>
        <v/>
      </c>
      <c r="W406" s="339" t="str">
        <f t="shared" si="67"/>
        <v/>
      </c>
      <c r="X406" s="341" t="str">
        <f t="shared" si="68"/>
        <v/>
      </c>
      <c r="Y406" s="277"/>
      <c r="AR406" t="str">
        <f t="shared" si="69"/>
        <v/>
      </c>
      <c r="AS406" t="str">
        <f t="shared" si="70"/>
        <v/>
      </c>
    </row>
    <row r="407" spans="1:45">
      <c r="A407" s="294"/>
      <c r="B407" s="295"/>
      <c r="C407" s="296"/>
      <c r="D407" s="296"/>
      <c r="E407" s="296"/>
      <c r="F407" s="296"/>
      <c r="G407" s="297"/>
      <c r="H407" s="303"/>
      <c r="I407" s="298"/>
      <c r="J407" s="298"/>
      <c r="K407" s="299"/>
      <c r="L407" s="304"/>
      <c r="M407" s="300"/>
      <c r="N407" s="301"/>
      <c r="P407" s="193" t="str">
        <f>IF(R407 = "", "", COUNT(R$4:$R407))</f>
        <v/>
      </c>
      <c r="Q407" s="193" t="str">
        <f t="shared" si="61"/>
        <v/>
      </c>
      <c r="R407" s="194" t="str">
        <f t="shared" si="62"/>
        <v/>
      </c>
      <c r="S407" s="195" t="str">
        <f t="shared" si="64"/>
        <v/>
      </c>
      <c r="T407" s="196" t="str">
        <f t="shared" si="65"/>
        <v/>
      </c>
      <c r="U407" s="197" t="str">
        <f t="shared" si="66"/>
        <v/>
      </c>
      <c r="V407" s="198" t="str">
        <f t="shared" si="63"/>
        <v/>
      </c>
      <c r="W407" s="339" t="str">
        <f t="shared" si="67"/>
        <v/>
      </c>
      <c r="X407" s="341" t="str">
        <f t="shared" si="68"/>
        <v/>
      </c>
      <c r="Y407" s="277"/>
      <c r="AR407" t="str">
        <f t="shared" si="69"/>
        <v/>
      </c>
      <c r="AS407" t="str">
        <f t="shared" si="70"/>
        <v/>
      </c>
    </row>
    <row r="408" spans="1:45">
      <c r="A408" s="294"/>
      <c r="B408" s="295"/>
      <c r="C408" s="296"/>
      <c r="D408" s="296"/>
      <c r="E408" s="296"/>
      <c r="F408" s="296"/>
      <c r="G408" s="297"/>
      <c r="H408" s="303"/>
      <c r="I408" s="298"/>
      <c r="J408" s="298"/>
      <c r="K408" s="299"/>
      <c r="L408" s="304"/>
      <c r="M408" s="300"/>
      <c r="N408" s="301"/>
      <c r="P408" s="193" t="str">
        <f>IF(R408 = "", "", COUNT(R$4:$R408))</f>
        <v/>
      </c>
      <c r="Q408" s="193" t="str">
        <f t="shared" si="61"/>
        <v/>
      </c>
      <c r="R408" s="194" t="str">
        <f t="shared" si="62"/>
        <v/>
      </c>
      <c r="S408" s="195" t="str">
        <f t="shared" si="64"/>
        <v/>
      </c>
      <c r="T408" s="196" t="str">
        <f t="shared" si="65"/>
        <v/>
      </c>
      <c r="U408" s="197" t="str">
        <f t="shared" si="66"/>
        <v/>
      </c>
      <c r="V408" s="198" t="str">
        <f t="shared" si="63"/>
        <v/>
      </c>
      <c r="W408" s="339" t="str">
        <f t="shared" si="67"/>
        <v/>
      </c>
      <c r="X408" s="341" t="str">
        <f t="shared" si="68"/>
        <v/>
      </c>
      <c r="Y408" s="277"/>
      <c r="AR408" t="str">
        <f t="shared" si="69"/>
        <v/>
      </c>
      <c r="AS408" t="str">
        <f t="shared" si="70"/>
        <v/>
      </c>
    </row>
    <row r="409" spans="1:45">
      <c r="A409" s="294"/>
      <c r="B409" s="295"/>
      <c r="C409" s="296"/>
      <c r="D409" s="296"/>
      <c r="E409" s="296"/>
      <c r="F409" s="296"/>
      <c r="G409" s="297"/>
      <c r="H409" s="303"/>
      <c r="I409" s="298"/>
      <c r="J409" s="298"/>
      <c r="K409" s="299"/>
      <c r="L409" s="304"/>
      <c r="M409" s="300"/>
      <c r="N409" s="301"/>
      <c r="P409" s="193" t="str">
        <f>IF(R409 = "", "", COUNT(R$4:$R409))</f>
        <v/>
      </c>
      <c r="Q409" s="193" t="str">
        <f t="shared" si="61"/>
        <v/>
      </c>
      <c r="R409" s="194" t="str">
        <f t="shared" si="62"/>
        <v/>
      </c>
      <c r="S409" s="195" t="str">
        <f t="shared" si="64"/>
        <v/>
      </c>
      <c r="T409" s="196" t="str">
        <f t="shared" si="65"/>
        <v/>
      </c>
      <c r="U409" s="197" t="str">
        <f t="shared" si="66"/>
        <v/>
      </c>
      <c r="V409" s="198" t="str">
        <f t="shared" si="63"/>
        <v/>
      </c>
      <c r="W409" s="339" t="str">
        <f t="shared" si="67"/>
        <v/>
      </c>
      <c r="X409" s="341" t="str">
        <f t="shared" si="68"/>
        <v/>
      </c>
      <c r="Y409" s="277"/>
      <c r="AR409" t="str">
        <f t="shared" si="69"/>
        <v/>
      </c>
      <c r="AS409" t="str">
        <f t="shared" si="70"/>
        <v/>
      </c>
    </row>
    <row r="410" spans="1:45">
      <c r="A410" s="294"/>
      <c r="B410" s="295"/>
      <c r="C410" s="296"/>
      <c r="D410" s="296"/>
      <c r="E410" s="296"/>
      <c r="F410" s="296"/>
      <c r="G410" s="297"/>
      <c r="H410" s="303"/>
      <c r="I410" s="298"/>
      <c r="J410" s="298"/>
      <c r="K410" s="299"/>
      <c r="L410" s="304"/>
      <c r="M410" s="300"/>
      <c r="N410" s="301"/>
      <c r="P410" s="193" t="str">
        <f>IF(R410 = "", "", COUNT(R$4:$R410))</f>
        <v/>
      </c>
      <c r="Q410" s="193" t="str">
        <f t="shared" si="61"/>
        <v/>
      </c>
      <c r="R410" s="194" t="str">
        <f t="shared" si="62"/>
        <v/>
      </c>
      <c r="S410" s="195" t="str">
        <f t="shared" si="64"/>
        <v/>
      </c>
      <c r="T410" s="196" t="str">
        <f t="shared" si="65"/>
        <v/>
      </c>
      <c r="U410" s="197" t="str">
        <f t="shared" si="66"/>
        <v/>
      </c>
      <c r="V410" s="198" t="str">
        <f t="shared" si="63"/>
        <v/>
      </c>
      <c r="W410" s="339" t="str">
        <f t="shared" si="67"/>
        <v/>
      </c>
      <c r="X410" s="341" t="str">
        <f t="shared" si="68"/>
        <v/>
      </c>
      <c r="Y410" s="277"/>
      <c r="AR410" t="str">
        <f t="shared" si="69"/>
        <v/>
      </c>
      <c r="AS410" t="str">
        <f t="shared" si="70"/>
        <v/>
      </c>
    </row>
    <row r="411" spans="1:45">
      <c r="A411" s="294"/>
      <c r="B411" s="295"/>
      <c r="C411" s="296"/>
      <c r="D411" s="296"/>
      <c r="E411" s="296"/>
      <c r="F411" s="296"/>
      <c r="G411" s="297"/>
      <c r="H411" s="303"/>
      <c r="I411" s="298"/>
      <c r="J411" s="298"/>
      <c r="K411" s="299"/>
      <c r="L411" s="304"/>
      <c r="M411" s="300"/>
      <c r="N411" s="301"/>
      <c r="P411" s="193" t="str">
        <f>IF(R411 = "", "", COUNT(R$4:$R411))</f>
        <v/>
      </c>
      <c r="Q411" s="193" t="str">
        <f t="shared" si="61"/>
        <v/>
      </c>
      <c r="R411" s="194" t="str">
        <f t="shared" si="62"/>
        <v/>
      </c>
      <c r="S411" s="195" t="str">
        <f t="shared" si="64"/>
        <v/>
      </c>
      <c r="T411" s="196" t="str">
        <f t="shared" si="65"/>
        <v/>
      </c>
      <c r="U411" s="197" t="str">
        <f t="shared" si="66"/>
        <v/>
      </c>
      <c r="V411" s="198" t="str">
        <f t="shared" si="63"/>
        <v/>
      </c>
      <c r="W411" s="339" t="str">
        <f t="shared" si="67"/>
        <v/>
      </c>
      <c r="X411" s="341" t="str">
        <f t="shared" si="68"/>
        <v/>
      </c>
      <c r="Y411" s="277"/>
      <c r="AR411" t="str">
        <f t="shared" si="69"/>
        <v/>
      </c>
      <c r="AS411" t="str">
        <f t="shared" si="70"/>
        <v/>
      </c>
    </row>
    <row r="412" spans="1:45">
      <c r="A412" s="294"/>
      <c r="B412" s="295"/>
      <c r="C412" s="296"/>
      <c r="D412" s="296"/>
      <c r="E412" s="296"/>
      <c r="F412" s="296"/>
      <c r="G412" s="297"/>
      <c r="H412" s="303"/>
      <c r="I412" s="298"/>
      <c r="J412" s="298"/>
      <c r="K412" s="299"/>
      <c r="L412" s="304"/>
      <c r="M412" s="300"/>
      <c r="N412" s="301"/>
      <c r="P412" s="193" t="str">
        <f>IF(R412 = "", "", COUNT(R$4:$R412))</f>
        <v/>
      </c>
      <c r="Q412" s="193" t="str">
        <f t="shared" si="61"/>
        <v/>
      </c>
      <c r="R412" s="194" t="str">
        <f t="shared" si="62"/>
        <v/>
      </c>
      <c r="S412" s="195" t="str">
        <f t="shared" si="64"/>
        <v/>
      </c>
      <c r="T412" s="196" t="str">
        <f t="shared" si="65"/>
        <v/>
      </c>
      <c r="U412" s="197" t="str">
        <f t="shared" si="66"/>
        <v/>
      </c>
      <c r="V412" s="198" t="str">
        <f t="shared" si="63"/>
        <v/>
      </c>
      <c r="W412" s="339" t="str">
        <f t="shared" si="67"/>
        <v/>
      </c>
      <c r="X412" s="341" t="str">
        <f t="shared" si="68"/>
        <v/>
      </c>
      <c r="Y412" s="277"/>
      <c r="AR412" t="str">
        <f t="shared" si="69"/>
        <v/>
      </c>
      <c r="AS412" t="str">
        <f t="shared" si="70"/>
        <v/>
      </c>
    </row>
    <row r="413" spans="1:45">
      <c r="A413" s="294"/>
      <c r="B413" s="295"/>
      <c r="C413" s="296"/>
      <c r="D413" s="296"/>
      <c r="E413" s="296"/>
      <c r="F413" s="296"/>
      <c r="G413" s="297"/>
      <c r="H413" s="303"/>
      <c r="I413" s="298"/>
      <c r="J413" s="298"/>
      <c r="K413" s="299"/>
      <c r="L413" s="304"/>
      <c r="M413" s="300"/>
      <c r="N413" s="301"/>
      <c r="P413" s="193" t="str">
        <f>IF(R413 = "", "", COUNT(R$4:$R413))</f>
        <v/>
      </c>
      <c r="Q413" s="193" t="str">
        <f t="shared" si="61"/>
        <v/>
      </c>
      <c r="R413" s="194" t="str">
        <f t="shared" si="62"/>
        <v/>
      </c>
      <c r="S413" s="195" t="str">
        <f t="shared" si="64"/>
        <v/>
      </c>
      <c r="T413" s="196" t="str">
        <f t="shared" si="65"/>
        <v/>
      </c>
      <c r="U413" s="197" t="str">
        <f t="shared" si="66"/>
        <v/>
      </c>
      <c r="V413" s="198" t="str">
        <f t="shared" si="63"/>
        <v/>
      </c>
      <c r="W413" s="339" t="str">
        <f t="shared" si="67"/>
        <v/>
      </c>
      <c r="X413" s="341" t="str">
        <f t="shared" si="68"/>
        <v/>
      </c>
      <c r="Y413" s="277"/>
      <c r="AR413" t="str">
        <f t="shared" si="69"/>
        <v/>
      </c>
      <c r="AS413" t="str">
        <f t="shared" si="70"/>
        <v/>
      </c>
    </row>
    <row r="414" spans="1:45">
      <c r="A414" s="294"/>
      <c r="B414" s="295"/>
      <c r="C414" s="296"/>
      <c r="D414" s="296"/>
      <c r="E414" s="296"/>
      <c r="F414" s="296"/>
      <c r="G414" s="297"/>
      <c r="H414" s="303"/>
      <c r="I414" s="298"/>
      <c r="J414" s="298"/>
      <c r="K414" s="299"/>
      <c r="L414" s="304"/>
      <c r="M414" s="300"/>
      <c r="N414" s="301"/>
      <c r="P414" s="193" t="str">
        <f>IF(R414 = "", "", COUNT(R$4:$R414))</f>
        <v/>
      </c>
      <c r="Q414" s="193" t="str">
        <f t="shared" si="61"/>
        <v/>
      </c>
      <c r="R414" s="194" t="str">
        <f t="shared" si="62"/>
        <v/>
      </c>
      <c r="S414" s="195" t="str">
        <f t="shared" si="64"/>
        <v/>
      </c>
      <c r="T414" s="196" t="str">
        <f t="shared" si="65"/>
        <v/>
      </c>
      <c r="U414" s="197" t="str">
        <f t="shared" si="66"/>
        <v/>
      </c>
      <c r="V414" s="198" t="str">
        <f t="shared" si="63"/>
        <v/>
      </c>
      <c r="W414" s="339" t="str">
        <f t="shared" si="67"/>
        <v/>
      </c>
      <c r="X414" s="341" t="str">
        <f t="shared" si="68"/>
        <v/>
      </c>
      <c r="Y414" s="277"/>
      <c r="AR414" t="str">
        <f t="shared" si="69"/>
        <v/>
      </c>
      <c r="AS414" t="str">
        <f t="shared" si="70"/>
        <v/>
      </c>
    </row>
    <row r="415" spans="1:45">
      <c r="A415" s="294"/>
      <c r="B415" s="295"/>
      <c r="C415" s="296"/>
      <c r="D415" s="296"/>
      <c r="E415" s="296"/>
      <c r="F415" s="296"/>
      <c r="G415" s="297"/>
      <c r="H415" s="303"/>
      <c r="I415" s="298"/>
      <c r="J415" s="298"/>
      <c r="K415" s="299"/>
      <c r="L415" s="304"/>
      <c r="M415" s="300"/>
      <c r="N415" s="301"/>
      <c r="P415" s="193" t="str">
        <f>IF(R415 = "", "", COUNT(R$4:$R415))</f>
        <v/>
      </c>
      <c r="Q415" s="193" t="str">
        <f t="shared" si="61"/>
        <v/>
      </c>
      <c r="R415" s="194" t="str">
        <f t="shared" si="62"/>
        <v/>
      </c>
      <c r="S415" s="195" t="str">
        <f t="shared" si="64"/>
        <v/>
      </c>
      <c r="T415" s="196" t="str">
        <f t="shared" si="65"/>
        <v/>
      </c>
      <c r="U415" s="197" t="str">
        <f t="shared" si="66"/>
        <v/>
      </c>
      <c r="V415" s="198" t="str">
        <f t="shared" si="63"/>
        <v/>
      </c>
      <c r="W415" s="339" t="str">
        <f t="shared" si="67"/>
        <v/>
      </c>
      <c r="X415" s="341" t="str">
        <f t="shared" si="68"/>
        <v/>
      </c>
      <c r="Y415" s="277"/>
      <c r="AR415" t="str">
        <f t="shared" si="69"/>
        <v/>
      </c>
      <c r="AS415" t="str">
        <f t="shared" si="70"/>
        <v/>
      </c>
    </row>
    <row r="416" spans="1:45">
      <c r="A416" s="294"/>
      <c r="B416" s="295"/>
      <c r="C416" s="296"/>
      <c r="D416" s="296"/>
      <c r="E416" s="296"/>
      <c r="F416" s="296"/>
      <c r="G416" s="297"/>
      <c r="H416" s="303"/>
      <c r="I416" s="298"/>
      <c r="J416" s="298"/>
      <c r="K416" s="299"/>
      <c r="L416" s="304"/>
      <c r="M416" s="300"/>
      <c r="N416" s="301"/>
      <c r="P416" s="193" t="str">
        <f>IF(R416 = "", "", COUNT(R$4:$R416))</f>
        <v/>
      </c>
      <c r="Q416" s="193" t="str">
        <f t="shared" si="61"/>
        <v/>
      </c>
      <c r="R416" s="194" t="str">
        <f t="shared" si="62"/>
        <v/>
      </c>
      <c r="S416" s="195" t="str">
        <f t="shared" si="64"/>
        <v/>
      </c>
      <c r="T416" s="196" t="str">
        <f t="shared" si="65"/>
        <v/>
      </c>
      <c r="U416" s="197" t="str">
        <f t="shared" si="66"/>
        <v/>
      </c>
      <c r="V416" s="198" t="str">
        <f t="shared" si="63"/>
        <v/>
      </c>
      <c r="W416" s="339" t="str">
        <f t="shared" si="67"/>
        <v/>
      </c>
      <c r="X416" s="341" t="str">
        <f t="shared" si="68"/>
        <v/>
      </c>
      <c r="Y416" s="277"/>
      <c r="AR416" t="str">
        <f t="shared" si="69"/>
        <v/>
      </c>
      <c r="AS416" t="str">
        <f t="shared" si="70"/>
        <v/>
      </c>
    </row>
    <row r="417" spans="1:45">
      <c r="A417" s="294"/>
      <c r="B417" s="295"/>
      <c r="C417" s="296"/>
      <c r="D417" s="296"/>
      <c r="E417" s="296"/>
      <c r="F417" s="296"/>
      <c r="G417" s="297"/>
      <c r="H417" s="303"/>
      <c r="I417" s="298"/>
      <c r="J417" s="298"/>
      <c r="K417" s="299"/>
      <c r="L417" s="304"/>
      <c r="M417" s="300"/>
      <c r="N417" s="301"/>
      <c r="P417" s="193" t="str">
        <f>IF(R417 = "", "", COUNT(R$4:$R417))</f>
        <v/>
      </c>
      <c r="Q417" s="193" t="str">
        <f t="shared" si="61"/>
        <v/>
      </c>
      <c r="R417" s="194" t="str">
        <f t="shared" si="62"/>
        <v/>
      </c>
      <c r="S417" s="195" t="str">
        <f t="shared" si="64"/>
        <v/>
      </c>
      <c r="T417" s="196" t="str">
        <f t="shared" si="65"/>
        <v/>
      </c>
      <c r="U417" s="197" t="str">
        <f t="shared" si="66"/>
        <v/>
      </c>
      <c r="V417" s="198" t="str">
        <f t="shared" si="63"/>
        <v/>
      </c>
      <c r="W417" s="339" t="str">
        <f t="shared" si="67"/>
        <v/>
      </c>
      <c r="X417" s="341" t="str">
        <f t="shared" si="68"/>
        <v/>
      </c>
      <c r="Y417" s="277"/>
      <c r="AR417" t="str">
        <f t="shared" si="69"/>
        <v/>
      </c>
      <c r="AS417" t="str">
        <f t="shared" si="70"/>
        <v/>
      </c>
    </row>
    <row r="418" spans="1:45">
      <c r="A418" s="294"/>
      <c r="B418" s="295"/>
      <c r="C418" s="296"/>
      <c r="D418" s="296"/>
      <c r="E418" s="296"/>
      <c r="F418" s="296"/>
      <c r="G418" s="297"/>
      <c r="H418" s="303"/>
      <c r="I418" s="298"/>
      <c r="J418" s="298"/>
      <c r="K418" s="299"/>
      <c r="L418" s="304"/>
      <c r="M418" s="300"/>
      <c r="N418" s="301"/>
      <c r="P418" s="193" t="str">
        <f>IF(R418 = "", "", COUNT(R$4:$R418))</f>
        <v/>
      </c>
      <c r="Q418" s="193" t="str">
        <f t="shared" si="61"/>
        <v/>
      </c>
      <c r="R418" s="194" t="str">
        <f t="shared" si="62"/>
        <v/>
      </c>
      <c r="S418" s="195" t="str">
        <f t="shared" si="64"/>
        <v/>
      </c>
      <c r="T418" s="196" t="str">
        <f t="shared" si="65"/>
        <v/>
      </c>
      <c r="U418" s="197" t="str">
        <f t="shared" si="66"/>
        <v/>
      </c>
      <c r="V418" s="198" t="str">
        <f t="shared" si="63"/>
        <v/>
      </c>
      <c r="W418" s="339" t="str">
        <f t="shared" si="67"/>
        <v/>
      </c>
      <c r="X418" s="341" t="str">
        <f t="shared" si="68"/>
        <v/>
      </c>
      <c r="Y418" s="277"/>
      <c r="AR418" t="str">
        <f t="shared" si="69"/>
        <v/>
      </c>
      <c r="AS418" t="str">
        <f t="shared" si="70"/>
        <v/>
      </c>
    </row>
    <row r="419" spans="1:45">
      <c r="A419" s="294"/>
      <c r="B419" s="295"/>
      <c r="C419" s="296"/>
      <c r="D419" s="296"/>
      <c r="E419" s="296"/>
      <c r="F419" s="296"/>
      <c r="G419" s="297"/>
      <c r="H419" s="303"/>
      <c r="I419" s="298"/>
      <c r="J419" s="298"/>
      <c r="K419" s="299"/>
      <c r="L419" s="304"/>
      <c r="M419" s="300"/>
      <c r="N419" s="301"/>
      <c r="P419" s="193" t="str">
        <f>IF(R419 = "", "", COUNT(R$4:$R419))</f>
        <v/>
      </c>
      <c r="Q419" s="193" t="str">
        <f t="shared" si="61"/>
        <v/>
      </c>
      <c r="R419" s="194" t="str">
        <f t="shared" si="62"/>
        <v/>
      </c>
      <c r="S419" s="195" t="str">
        <f t="shared" si="64"/>
        <v/>
      </c>
      <c r="T419" s="196" t="str">
        <f t="shared" si="65"/>
        <v/>
      </c>
      <c r="U419" s="197" t="str">
        <f t="shared" si="66"/>
        <v/>
      </c>
      <c r="V419" s="198" t="str">
        <f t="shared" si="63"/>
        <v/>
      </c>
      <c r="W419" s="339" t="str">
        <f t="shared" si="67"/>
        <v/>
      </c>
      <c r="X419" s="341" t="str">
        <f t="shared" si="68"/>
        <v/>
      </c>
      <c r="Y419" s="277"/>
      <c r="AR419" t="str">
        <f t="shared" si="69"/>
        <v/>
      </c>
      <c r="AS419" t="str">
        <f t="shared" si="70"/>
        <v/>
      </c>
    </row>
    <row r="420" spans="1:45">
      <c r="A420" s="294"/>
      <c r="B420" s="295"/>
      <c r="C420" s="296"/>
      <c r="D420" s="296"/>
      <c r="E420" s="296"/>
      <c r="F420" s="296"/>
      <c r="G420" s="297"/>
      <c r="H420" s="303"/>
      <c r="I420" s="298"/>
      <c r="J420" s="298"/>
      <c r="K420" s="299"/>
      <c r="L420" s="304"/>
      <c r="M420" s="300"/>
      <c r="N420" s="301"/>
      <c r="P420" s="193" t="str">
        <f>IF(R420 = "", "", COUNT(R$4:$R420))</f>
        <v/>
      </c>
      <c r="Q420" s="193" t="str">
        <f t="shared" si="61"/>
        <v/>
      </c>
      <c r="R420" s="194" t="str">
        <f t="shared" si="62"/>
        <v/>
      </c>
      <c r="S420" s="195" t="str">
        <f t="shared" si="64"/>
        <v/>
      </c>
      <c r="T420" s="196" t="str">
        <f t="shared" si="65"/>
        <v/>
      </c>
      <c r="U420" s="197" t="str">
        <f t="shared" si="66"/>
        <v/>
      </c>
      <c r="V420" s="198" t="str">
        <f t="shared" si="63"/>
        <v/>
      </c>
      <c r="W420" s="339" t="str">
        <f t="shared" si="67"/>
        <v/>
      </c>
      <c r="X420" s="341" t="str">
        <f t="shared" si="68"/>
        <v/>
      </c>
      <c r="Y420" s="277"/>
      <c r="AR420" t="str">
        <f t="shared" si="69"/>
        <v/>
      </c>
      <c r="AS420" t="str">
        <f t="shared" si="70"/>
        <v/>
      </c>
    </row>
    <row r="421" spans="1:45">
      <c r="A421" s="294"/>
      <c r="B421" s="295"/>
      <c r="C421" s="296"/>
      <c r="D421" s="296"/>
      <c r="E421" s="296"/>
      <c r="F421" s="296"/>
      <c r="G421" s="297"/>
      <c r="H421" s="303"/>
      <c r="I421" s="298"/>
      <c r="J421" s="298"/>
      <c r="K421" s="299"/>
      <c r="L421" s="304"/>
      <c r="M421" s="300"/>
      <c r="N421" s="301"/>
      <c r="P421" s="193" t="str">
        <f>IF(R421 = "", "", COUNT(R$4:$R421))</f>
        <v/>
      </c>
      <c r="Q421" s="193" t="str">
        <f t="shared" si="61"/>
        <v/>
      </c>
      <c r="R421" s="194" t="str">
        <f t="shared" si="62"/>
        <v/>
      </c>
      <c r="S421" s="195" t="str">
        <f t="shared" si="64"/>
        <v/>
      </c>
      <c r="T421" s="196" t="str">
        <f t="shared" si="65"/>
        <v/>
      </c>
      <c r="U421" s="197" t="str">
        <f t="shared" si="66"/>
        <v/>
      </c>
      <c r="V421" s="198" t="str">
        <f t="shared" si="63"/>
        <v/>
      </c>
      <c r="W421" s="339" t="str">
        <f t="shared" si="67"/>
        <v/>
      </c>
      <c r="X421" s="341" t="str">
        <f t="shared" si="68"/>
        <v/>
      </c>
      <c r="Y421" s="277"/>
      <c r="AR421" t="str">
        <f t="shared" si="69"/>
        <v/>
      </c>
      <c r="AS421" t="str">
        <f t="shared" si="70"/>
        <v/>
      </c>
    </row>
    <row r="422" spans="1:45">
      <c r="A422" s="294"/>
      <c r="B422" s="295"/>
      <c r="C422" s="296"/>
      <c r="D422" s="296"/>
      <c r="E422" s="296"/>
      <c r="F422" s="296"/>
      <c r="G422" s="297"/>
      <c r="H422" s="303"/>
      <c r="I422" s="298"/>
      <c r="J422" s="298"/>
      <c r="K422" s="299"/>
      <c r="L422" s="304"/>
      <c r="M422" s="300"/>
      <c r="N422" s="301"/>
      <c r="P422" s="193" t="str">
        <f>IF(R422 = "", "", COUNT(R$4:$R422))</f>
        <v/>
      </c>
      <c r="Q422" s="193" t="str">
        <f t="shared" si="61"/>
        <v/>
      </c>
      <c r="R422" s="194" t="str">
        <f t="shared" si="62"/>
        <v/>
      </c>
      <c r="S422" s="195" t="str">
        <f t="shared" si="64"/>
        <v/>
      </c>
      <c r="T422" s="196" t="str">
        <f t="shared" si="65"/>
        <v/>
      </c>
      <c r="U422" s="197" t="str">
        <f t="shared" si="66"/>
        <v/>
      </c>
      <c r="V422" s="198" t="str">
        <f t="shared" si="63"/>
        <v/>
      </c>
      <c r="W422" s="339" t="str">
        <f t="shared" si="67"/>
        <v/>
      </c>
      <c r="X422" s="341" t="str">
        <f t="shared" si="68"/>
        <v/>
      </c>
      <c r="Y422" s="277"/>
      <c r="AR422" t="str">
        <f t="shared" si="69"/>
        <v/>
      </c>
      <c r="AS422" t="str">
        <f t="shared" si="70"/>
        <v/>
      </c>
    </row>
    <row r="423" spans="1:45">
      <c r="A423" s="294"/>
      <c r="B423" s="295"/>
      <c r="C423" s="296"/>
      <c r="D423" s="296"/>
      <c r="E423" s="296"/>
      <c r="F423" s="296"/>
      <c r="G423" s="297"/>
      <c r="H423" s="303"/>
      <c r="I423" s="298"/>
      <c r="J423" s="298"/>
      <c r="K423" s="299"/>
      <c r="L423" s="304"/>
      <c r="M423" s="300"/>
      <c r="N423" s="301"/>
      <c r="P423" s="193" t="str">
        <f>IF(R423 = "", "", COUNT(R$4:$R423))</f>
        <v/>
      </c>
      <c r="Q423" s="193" t="str">
        <f t="shared" si="61"/>
        <v/>
      </c>
      <c r="R423" s="194" t="str">
        <f t="shared" si="62"/>
        <v/>
      </c>
      <c r="S423" s="195" t="str">
        <f t="shared" si="64"/>
        <v/>
      </c>
      <c r="T423" s="196" t="str">
        <f t="shared" si="65"/>
        <v/>
      </c>
      <c r="U423" s="197" t="str">
        <f t="shared" si="66"/>
        <v/>
      </c>
      <c r="V423" s="198" t="str">
        <f t="shared" si="63"/>
        <v/>
      </c>
      <c r="W423" s="339" t="str">
        <f t="shared" si="67"/>
        <v/>
      </c>
      <c r="X423" s="341" t="str">
        <f t="shared" si="68"/>
        <v/>
      </c>
      <c r="Y423" s="277"/>
      <c r="AR423" t="str">
        <f t="shared" si="69"/>
        <v/>
      </c>
      <c r="AS423" t="str">
        <f t="shared" si="70"/>
        <v/>
      </c>
    </row>
    <row r="424" spans="1:45">
      <c r="A424" s="294"/>
      <c r="B424" s="295"/>
      <c r="C424" s="296"/>
      <c r="D424" s="296"/>
      <c r="E424" s="296"/>
      <c r="F424" s="296"/>
      <c r="G424" s="297"/>
      <c r="H424" s="303"/>
      <c r="I424" s="298"/>
      <c r="J424" s="298"/>
      <c r="K424" s="299"/>
      <c r="L424" s="304"/>
      <c r="M424" s="300"/>
      <c r="N424" s="301"/>
      <c r="P424" s="193" t="str">
        <f>IF(R424 = "", "", COUNT(R$4:$R424))</f>
        <v/>
      </c>
      <c r="Q424" s="193" t="str">
        <f t="shared" si="61"/>
        <v/>
      </c>
      <c r="R424" s="194" t="str">
        <f t="shared" si="62"/>
        <v/>
      </c>
      <c r="S424" s="195" t="str">
        <f t="shared" si="64"/>
        <v/>
      </c>
      <c r="T424" s="196" t="str">
        <f t="shared" si="65"/>
        <v/>
      </c>
      <c r="U424" s="197" t="str">
        <f t="shared" si="66"/>
        <v/>
      </c>
      <c r="V424" s="198" t="str">
        <f t="shared" si="63"/>
        <v/>
      </c>
      <c r="W424" s="339" t="str">
        <f t="shared" si="67"/>
        <v/>
      </c>
      <c r="X424" s="341" t="str">
        <f t="shared" si="68"/>
        <v/>
      </c>
      <c r="Y424" s="277"/>
      <c r="AR424" t="str">
        <f t="shared" si="69"/>
        <v/>
      </c>
      <c r="AS424" t="str">
        <f t="shared" si="70"/>
        <v/>
      </c>
    </row>
    <row r="425" spans="1:45">
      <c r="A425" s="294"/>
      <c r="B425" s="295"/>
      <c r="C425" s="296"/>
      <c r="D425" s="296"/>
      <c r="E425" s="296"/>
      <c r="F425" s="296"/>
      <c r="G425" s="297"/>
      <c r="H425" s="303"/>
      <c r="I425" s="298"/>
      <c r="J425" s="298"/>
      <c r="K425" s="299"/>
      <c r="L425" s="304"/>
      <c r="M425" s="300"/>
      <c r="N425" s="301"/>
      <c r="P425" s="193" t="str">
        <f>IF(R425 = "", "", COUNT(R$4:$R425))</f>
        <v/>
      </c>
      <c r="Q425" s="193" t="str">
        <f t="shared" si="61"/>
        <v/>
      </c>
      <c r="R425" s="194" t="str">
        <f t="shared" si="62"/>
        <v/>
      </c>
      <c r="S425" s="195" t="str">
        <f t="shared" si="64"/>
        <v/>
      </c>
      <c r="T425" s="196" t="str">
        <f t="shared" si="65"/>
        <v/>
      </c>
      <c r="U425" s="197" t="str">
        <f t="shared" si="66"/>
        <v/>
      </c>
      <c r="V425" s="198" t="str">
        <f t="shared" si="63"/>
        <v/>
      </c>
      <c r="W425" s="339" t="str">
        <f t="shared" si="67"/>
        <v/>
      </c>
      <c r="X425" s="341" t="str">
        <f t="shared" si="68"/>
        <v/>
      </c>
      <c r="Y425" s="277"/>
      <c r="AR425" t="str">
        <f t="shared" si="69"/>
        <v/>
      </c>
      <c r="AS425" t="str">
        <f t="shared" si="70"/>
        <v/>
      </c>
    </row>
    <row r="426" spans="1:45">
      <c r="A426" s="294"/>
      <c r="B426" s="295"/>
      <c r="C426" s="296"/>
      <c r="D426" s="296"/>
      <c r="E426" s="296"/>
      <c r="F426" s="296"/>
      <c r="G426" s="297"/>
      <c r="H426" s="303"/>
      <c r="I426" s="298"/>
      <c r="J426" s="298"/>
      <c r="K426" s="299"/>
      <c r="L426" s="304"/>
      <c r="M426" s="300"/>
      <c r="N426" s="301"/>
      <c r="P426" s="193" t="str">
        <f>IF(R426 = "", "", COUNT(R$4:$R426))</f>
        <v/>
      </c>
      <c r="Q426" s="193" t="str">
        <f t="shared" si="61"/>
        <v/>
      </c>
      <c r="R426" s="194" t="str">
        <f t="shared" si="62"/>
        <v/>
      </c>
      <c r="S426" s="195" t="str">
        <f t="shared" si="64"/>
        <v/>
      </c>
      <c r="T426" s="196" t="str">
        <f t="shared" si="65"/>
        <v/>
      </c>
      <c r="U426" s="197" t="str">
        <f t="shared" si="66"/>
        <v/>
      </c>
      <c r="V426" s="198" t="str">
        <f t="shared" si="63"/>
        <v/>
      </c>
      <c r="W426" s="339" t="str">
        <f t="shared" si="67"/>
        <v/>
      </c>
      <c r="X426" s="341" t="str">
        <f t="shared" si="68"/>
        <v/>
      </c>
      <c r="Y426" s="277"/>
      <c r="AR426" t="str">
        <f t="shared" si="69"/>
        <v/>
      </c>
      <c r="AS426" t="str">
        <f t="shared" si="70"/>
        <v/>
      </c>
    </row>
    <row r="427" spans="1:45">
      <c r="A427" s="294"/>
      <c r="B427" s="295"/>
      <c r="C427" s="296"/>
      <c r="D427" s="296"/>
      <c r="E427" s="296"/>
      <c r="F427" s="296"/>
      <c r="G427" s="297"/>
      <c r="H427" s="303"/>
      <c r="I427" s="298"/>
      <c r="J427" s="298"/>
      <c r="K427" s="299"/>
      <c r="L427" s="304"/>
      <c r="M427" s="300"/>
      <c r="N427" s="301"/>
      <c r="P427" s="193" t="str">
        <f>IF(R427 = "", "", COUNT(R$4:$R427))</f>
        <v/>
      </c>
      <c r="Q427" s="193" t="str">
        <f t="shared" si="61"/>
        <v/>
      </c>
      <c r="R427" s="194" t="str">
        <f t="shared" si="62"/>
        <v/>
      </c>
      <c r="S427" s="195" t="str">
        <f t="shared" si="64"/>
        <v/>
      </c>
      <c r="T427" s="196" t="str">
        <f t="shared" si="65"/>
        <v/>
      </c>
      <c r="U427" s="197" t="str">
        <f t="shared" si="66"/>
        <v/>
      </c>
      <c r="V427" s="198" t="str">
        <f t="shared" si="63"/>
        <v/>
      </c>
      <c r="W427" s="339" t="str">
        <f t="shared" si="67"/>
        <v/>
      </c>
      <c r="X427" s="341" t="str">
        <f t="shared" si="68"/>
        <v/>
      </c>
      <c r="Y427" s="277"/>
      <c r="AR427" t="str">
        <f t="shared" si="69"/>
        <v/>
      </c>
      <c r="AS427" t="str">
        <f t="shared" si="70"/>
        <v/>
      </c>
    </row>
    <row r="428" spans="1:45">
      <c r="A428" s="294"/>
      <c r="B428" s="295"/>
      <c r="C428" s="296"/>
      <c r="D428" s="296"/>
      <c r="E428" s="296"/>
      <c r="F428" s="296"/>
      <c r="G428" s="297"/>
      <c r="H428" s="303"/>
      <c r="I428" s="298"/>
      <c r="J428" s="298"/>
      <c r="K428" s="299"/>
      <c r="L428" s="304"/>
      <c r="M428" s="300"/>
      <c r="N428" s="301"/>
      <c r="P428" s="193" t="str">
        <f>IF(R428 = "", "", COUNT(R$4:$R428))</f>
        <v/>
      </c>
      <c r="Q428" s="193" t="str">
        <f t="shared" si="61"/>
        <v/>
      </c>
      <c r="R428" s="194" t="str">
        <f t="shared" si="62"/>
        <v/>
      </c>
      <c r="S428" s="195" t="str">
        <f t="shared" si="64"/>
        <v/>
      </c>
      <c r="T428" s="196" t="str">
        <f t="shared" si="65"/>
        <v/>
      </c>
      <c r="U428" s="197" t="str">
        <f t="shared" si="66"/>
        <v/>
      </c>
      <c r="V428" s="198" t="str">
        <f t="shared" si="63"/>
        <v/>
      </c>
      <c r="W428" s="339" t="str">
        <f t="shared" si="67"/>
        <v/>
      </c>
      <c r="X428" s="341" t="str">
        <f t="shared" si="68"/>
        <v/>
      </c>
      <c r="Y428" s="277"/>
      <c r="AR428" t="str">
        <f t="shared" si="69"/>
        <v/>
      </c>
      <c r="AS428" t="str">
        <f t="shared" si="70"/>
        <v/>
      </c>
    </row>
    <row r="429" spans="1:45">
      <c r="A429" s="294"/>
      <c r="B429" s="295"/>
      <c r="C429" s="296"/>
      <c r="D429" s="296"/>
      <c r="E429" s="296"/>
      <c r="F429" s="296"/>
      <c r="G429" s="297"/>
      <c r="H429" s="303"/>
      <c r="I429" s="298"/>
      <c r="J429" s="298"/>
      <c r="K429" s="299"/>
      <c r="L429" s="304"/>
      <c r="M429" s="300"/>
      <c r="N429" s="301"/>
      <c r="P429" s="193" t="str">
        <f>IF(R429 = "", "", COUNT(R$4:$R429))</f>
        <v/>
      </c>
      <c r="Q429" s="193" t="str">
        <f t="shared" si="61"/>
        <v/>
      </c>
      <c r="R429" s="194" t="str">
        <f t="shared" si="62"/>
        <v/>
      </c>
      <c r="S429" s="195" t="str">
        <f t="shared" si="64"/>
        <v/>
      </c>
      <c r="T429" s="196" t="str">
        <f t="shared" si="65"/>
        <v/>
      </c>
      <c r="U429" s="197" t="str">
        <f t="shared" si="66"/>
        <v/>
      </c>
      <c r="V429" s="198" t="str">
        <f t="shared" si="63"/>
        <v/>
      </c>
      <c r="W429" s="339" t="str">
        <f t="shared" si="67"/>
        <v/>
      </c>
      <c r="X429" s="341" t="str">
        <f t="shared" si="68"/>
        <v/>
      </c>
      <c r="Y429" s="277"/>
      <c r="AR429" t="str">
        <f t="shared" si="69"/>
        <v/>
      </c>
      <c r="AS429" t="str">
        <f t="shared" si="70"/>
        <v/>
      </c>
    </row>
    <row r="430" spans="1:45">
      <c r="A430" s="294"/>
      <c r="B430" s="295"/>
      <c r="C430" s="296"/>
      <c r="D430" s="296"/>
      <c r="E430" s="296"/>
      <c r="F430" s="296"/>
      <c r="G430" s="297"/>
      <c r="H430" s="303"/>
      <c r="I430" s="298"/>
      <c r="J430" s="298"/>
      <c r="K430" s="299"/>
      <c r="L430" s="304"/>
      <c r="M430" s="300"/>
      <c r="N430" s="301"/>
      <c r="P430" s="193" t="str">
        <f>IF(R430 = "", "", COUNT(R$4:$R430))</f>
        <v/>
      </c>
      <c r="Q430" s="193" t="str">
        <f t="shared" si="61"/>
        <v/>
      </c>
      <c r="R430" s="194" t="str">
        <f t="shared" si="62"/>
        <v/>
      </c>
      <c r="S430" s="195" t="str">
        <f t="shared" si="64"/>
        <v/>
      </c>
      <c r="T430" s="196" t="str">
        <f t="shared" si="65"/>
        <v/>
      </c>
      <c r="U430" s="197" t="str">
        <f t="shared" si="66"/>
        <v/>
      </c>
      <c r="V430" s="198" t="str">
        <f t="shared" si="63"/>
        <v/>
      </c>
      <c r="W430" s="339" t="str">
        <f t="shared" si="67"/>
        <v/>
      </c>
      <c r="X430" s="341" t="str">
        <f t="shared" si="68"/>
        <v/>
      </c>
      <c r="Y430" s="277"/>
      <c r="AR430" t="str">
        <f t="shared" si="69"/>
        <v/>
      </c>
      <c r="AS430" t="str">
        <f t="shared" si="70"/>
        <v/>
      </c>
    </row>
    <row r="431" spans="1:45">
      <c r="A431" s="294"/>
      <c r="B431" s="295"/>
      <c r="C431" s="296"/>
      <c r="D431" s="296"/>
      <c r="E431" s="296"/>
      <c r="F431" s="296"/>
      <c r="G431" s="297"/>
      <c r="H431" s="303"/>
      <c r="I431" s="298"/>
      <c r="J431" s="298"/>
      <c r="K431" s="299"/>
      <c r="L431" s="304"/>
      <c r="M431" s="300"/>
      <c r="N431" s="301"/>
      <c r="P431" s="193" t="str">
        <f>IF(R431 = "", "", COUNT(R$4:$R431))</f>
        <v/>
      </c>
      <c r="Q431" s="193" t="str">
        <f t="shared" si="61"/>
        <v/>
      </c>
      <c r="R431" s="194" t="str">
        <f t="shared" si="62"/>
        <v/>
      </c>
      <c r="S431" s="195" t="str">
        <f t="shared" si="64"/>
        <v/>
      </c>
      <c r="T431" s="196" t="str">
        <f t="shared" si="65"/>
        <v/>
      </c>
      <c r="U431" s="197" t="str">
        <f t="shared" si="66"/>
        <v/>
      </c>
      <c r="V431" s="198" t="str">
        <f t="shared" si="63"/>
        <v/>
      </c>
      <c r="W431" s="339" t="str">
        <f t="shared" si="67"/>
        <v/>
      </c>
      <c r="X431" s="341" t="str">
        <f t="shared" si="68"/>
        <v/>
      </c>
      <c r="Y431" s="277"/>
      <c r="AR431" t="str">
        <f t="shared" si="69"/>
        <v/>
      </c>
      <c r="AS431" t="str">
        <f t="shared" si="70"/>
        <v/>
      </c>
    </row>
    <row r="432" spans="1:45">
      <c r="A432" s="294"/>
      <c r="B432" s="295"/>
      <c r="C432" s="296"/>
      <c r="D432" s="296"/>
      <c r="E432" s="296"/>
      <c r="F432" s="296"/>
      <c r="G432" s="297"/>
      <c r="H432" s="303"/>
      <c r="I432" s="298"/>
      <c r="J432" s="298"/>
      <c r="K432" s="299"/>
      <c r="L432" s="304"/>
      <c r="M432" s="300"/>
      <c r="N432" s="301"/>
      <c r="P432" s="193" t="str">
        <f>IF(R432 = "", "", COUNT(R$4:$R432))</f>
        <v/>
      </c>
      <c r="Q432" s="193" t="str">
        <f t="shared" si="61"/>
        <v/>
      </c>
      <c r="R432" s="194" t="str">
        <f t="shared" si="62"/>
        <v/>
      </c>
      <c r="S432" s="195" t="str">
        <f t="shared" si="64"/>
        <v/>
      </c>
      <c r="T432" s="196" t="str">
        <f t="shared" si="65"/>
        <v/>
      </c>
      <c r="U432" s="197" t="str">
        <f t="shared" si="66"/>
        <v/>
      </c>
      <c r="V432" s="198" t="str">
        <f t="shared" si="63"/>
        <v/>
      </c>
      <c r="W432" s="339" t="str">
        <f t="shared" si="67"/>
        <v/>
      </c>
      <c r="X432" s="341" t="str">
        <f t="shared" si="68"/>
        <v/>
      </c>
      <c r="Y432" s="277"/>
      <c r="AR432" t="str">
        <f t="shared" si="69"/>
        <v/>
      </c>
      <c r="AS432" t="str">
        <f t="shared" si="70"/>
        <v/>
      </c>
    </row>
    <row r="433" spans="1:45">
      <c r="A433" s="294"/>
      <c r="B433" s="295"/>
      <c r="C433" s="296"/>
      <c r="D433" s="296"/>
      <c r="E433" s="296"/>
      <c r="F433" s="296"/>
      <c r="G433" s="297"/>
      <c r="H433" s="303"/>
      <c r="I433" s="298"/>
      <c r="J433" s="298"/>
      <c r="K433" s="299"/>
      <c r="L433" s="304"/>
      <c r="M433" s="300"/>
      <c r="N433" s="301"/>
      <c r="P433" s="193" t="str">
        <f>IF(R433 = "", "", COUNT(R$4:$R433))</f>
        <v/>
      </c>
      <c r="Q433" s="193" t="str">
        <f t="shared" si="61"/>
        <v/>
      </c>
      <c r="R433" s="194" t="str">
        <f t="shared" si="62"/>
        <v/>
      </c>
      <c r="S433" s="195" t="str">
        <f t="shared" si="64"/>
        <v/>
      </c>
      <c r="T433" s="196" t="str">
        <f t="shared" si="65"/>
        <v/>
      </c>
      <c r="U433" s="197" t="str">
        <f t="shared" si="66"/>
        <v/>
      </c>
      <c r="V433" s="198" t="str">
        <f t="shared" si="63"/>
        <v/>
      </c>
      <c r="W433" s="339" t="str">
        <f t="shared" si="67"/>
        <v/>
      </c>
      <c r="X433" s="341" t="str">
        <f t="shared" si="68"/>
        <v/>
      </c>
      <c r="Y433" s="277"/>
      <c r="AR433" t="str">
        <f t="shared" si="69"/>
        <v/>
      </c>
      <c r="AS433" t="str">
        <f t="shared" si="70"/>
        <v/>
      </c>
    </row>
    <row r="434" spans="1:45">
      <c r="A434" s="294"/>
      <c r="B434" s="295"/>
      <c r="C434" s="296"/>
      <c r="D434" s="296"/>
      <c r="E434" s="296"/>
      <c r="F434" s="296"/>
      <c r="G434" s="297"/>
      <c r="H434" s="303"/>
      <c r="I434" s="298"/>
      <c r="J434" s="298"/>
      <c r="K434" s="299"/>
      <c r="L434" s="304"/>
      <c r="M434" s="300"/>
      <c r="N434" s="301"/>
      <c r="P434" s="193" t="str">
        <f>IF(R434 = "", "", COUNT(R$4:$R434))</f>
        <v/>
      </c>
      <c r="Q434" s="193" t="str">
        <f t="shared" si="61"/>
        <v/>
      </c>
      <c r="R434" s="194" t="str">
        <f t="shared" si="62"/>
        <v/>
      </c>
      <c r="S434" s="195" t="str">
        <f t="shared" si="64"/>
        <v/>
      </c>
      <c r="T434" s="196" t="str">
        <f t="shared" si="65"/>
        <v/>
      </c>
      <c r="U434" s="197" t="str">
        <f t="shared" si="66"/>
        <v/>
      </c>
      <c r="V434" s="198" t="str">
        <f t="shared" si="63"/>
        <v/>
      </c>
      <c r="W434" s="339" t="str">
        <f t="shared" si="67"/>
        <v/>
      </c>
      <c r="X434" s="341" t="str">
        <f t="shared" si="68"/>
        <v/>
      </c>
      <c r="Y434" s="277"/>
      <c r="AR434" t="str">
        <f t="shared" si="69"/>
        <v/>
      </c>
      <c r="AS434" t="str">
        <f t="shared" si="70"/>
        <v/>
      </c>
    </row>
    <row r="435" spans="1:45">
      <c r="A435" s="294"/>
      <c r="B435" s="295"/>
      <c r="C435" s="296"/>
      <c r="D435" s="296"/>
      <c r="E435" s="296"/>
      <c r="F435" s="296"/>
      <c r="G435" s="297"/>
      <c r="H435" s="303"/>
      <c r="I435" s="298"/>
      <c r="J435" s="298"/>
      <c r="K435" s="299"/>
      <c r="L435" s="304"/>
      <c r="M435" s="300"/>
      <c r="N435" s="301"/>
      <c r="P435" s="193" t="str">
        <f>IF(R435 = "", "", COUNT(R$4:$R435))</f>
        <v/>
      </c>
      <c r="Q435" s="193" t="str">
        <f t="shared" si="61"/>
        <v/>
      </c>
      <c r="R435" s="194" t="str">
        <f t="shared" si="62"/>
        <v/>
      </c>
      <c r="S435" s="195" t="str">
        <f t="shared" si="64"/>
        <v/>
      </c>
      <c r="T435" s="196" t="str">
        <f t="shared" si="65"/>
        <v/>
      </c>
      <c r="U435" s="197" t="str">
        <f t="shared" si="66"/>
        <v/>
      </c>
      <c r="V435" s="198" t="str">
        <f t="shared" si="63"/>
        <v/>
      </c>
      <c r="W435" s="339" t="str">
        <f t="shared" si="67"/>
        <v/>
      </c>
      <c r="X435" s="341" t="str">
        <f t="shared" si="68"/>
        <v/>
      </c>
      <c r="Y435" s="277"/>
      <c r="AR435" t="str">
        <f t="shared" si="69"/>
        <v/>
      </c>
      <c r="AS435" t="str">
        <f t="shared" si="70"/>
        <v/>
      </c>
    </row>
    <row r="436" spans="1:45">
      <c r="A436" s="294"/>
      <c r="B436" s="295"/>
      <c r="C436" s="296"/>
      <c r="D436" s="296"/>
      <c r="E436" s="296"/>
      <c r="F436" s="296"/>
      <c r="G436" s="297"/>
      <c r="H436" s="303"/>
      <c r="I436" s="298"/>
      <c r="J436" s="298"/>
      <c r="K436" s="299"/>
      <c r="L436" s="304"/>
      <c r="M436" s="300"/>
      <c r="N436" s="301"/>
      <c r="P436" s="193" t="str">
        <f>IF(R436 = "", "", COUNT(R$4:$R436))</f>
        <v/>
      </c>
      <c r="Q436" s="193" t="str">
        <f t="shared" si="61"/>
        <v/>
      </c>
      <c r="R436" s="194" t="str">
        <f t="shared" si="62"/>
        <v/>
      </c>
      <c r="S436" s="195" t="str">
        <f t="shared" si="64"/>
        <v/>
      </c>
      <c r="T436" s="196" t="str">
        <f t="shared" si="65"/>
        <v/>
      </c>
      <c r="U436" s="197" t="str">
        <f t="shared" si="66"/>
        <v/>
      </c>
      <c r="V436" s="198" t="str">
        <f t="shared" si="63"/>
        <v/>
      </c>
      <c r="W436" s="339" t="str">
        <f t="shared" si="67"/>
        <v/>
      </c>
      <c r="X436" s="341" t="str">
        <f t="shared" si="68"/>
        <v/>
      </c>
      <c r="Y436" s="277"/>
      <c r="AR436" t="str">
        <f t="shared" si="69"/>
        <v/>
      </c>
      <c r="AS436" t="str">
        <f t="shared" si="70"/>
        <v/>
      </c>
    </row>
    <row r="437" spans="1:45">
      <c r="A437" s="294"/>
      <c r="B437" s="295"/>
      <c r="C437" s="296"/>
      <c r="D437" s="296"/>
      <c r="E437" s="296"/>
      <c r="F437" s="296"/>
      <c r="G437" s="297"/>
      <c r="H437" s="303"/>
      <c r="I437" s="298"/>
      <c r="J437" s="298"/>
      <c r="K437" s="299"/>
      <c r="L437" s="304"/>
      <c r="M437" s="300"/>
      <c r="N437" s="301"/>
      <c r="P437" s="193" t="str">
        <f>IF(R437 = "", "", COUNT(R$4:$R437))</f>
        <v/>
      </c>
      <c r="Q437" s="193" t="str">
        <f t="shared" si="61"/>
        <v/>
      </c>
      <c r="R437" s="194" t="str">
        <f t="shared" si="62"/>
        <v/>
      </c>
      <c r="S437" s="195" t="str">
        <f t="shared" si="64"/>
        <v/>
      </c>
      <c r="T437" s="196" t="str">
        <f t="shared" si="65"/>
        <v/>
      </c>
      <c r="U437" s="197" t="str">
        <f t="shared" si="66"/>
        <v/>
      </c>
      <c r="V437" s="198" t="str">
        <f t="shared" si="63"/>
        <v/>
      </c>
      <c r="W437" s="339" t="str">
        <f t="shared" si="67"/>
        <v/>
      </c>
      <c r="X437" s="341" t="str">
        <f t="shared" si="68"/>
        <v/>
      </c>
      <c r="Y437" s="277"/>
      <c r="AR437" t="str">
        <f t="shared" si="69"/>
        <v/>
      </c>
      <c r="AS437" t="str">
        <f t="shared" si="70"/>
        <v/>
      </c>
    </row>
    <row r="438" spans="1:45">
      <c r="A438" s="294"/>
      <c r="B438" s="295"/>
      <c r="C438" s="296"/>
      <c r="D438" s="296"/>
      <c r="E438" s="296"/>
      <c r="F438" s="296"/>
      <c r="G438" s="297"/>
      <c r="H438" s="303"/>
      <c r="I438" s="298"/>
      <c r="J438" s="298"/>
      <c r="K438" s="299"/>
      <c r="L438" s="304"/>
      <c r="M438" s="300"/>
      <c r="N438" s="301"/>
      <c r="P438" s="193" t="str">
        <f>IF(R438 = "", "", COUNT(R$4:$R438))</f>
        <v/>
      </c>
      <c r="Q438" s="193" t="str">
        <f t="shared" si="61"/>
        <v/>
      </c>
      <c r="R438" s="194" t="str">
        <f t="shared" si="62"/>
        <v/>
      </c>
      <c r="S438" s="195" t="str">
        <f t="shared" si="64"/>
        <v/>
      </c>
      <c r="T438" s="196" t="str">
        <f t="shared" si="65"/>
        <v/>
      </c>
      <c r="U438" s="197" t="str">
        <f t="shared" si="66"/>
        <v/>
      </c>
      <c r="V438" s="198" t="str">
        <f t="shared" si="63"/>
        <v/>
      </c>
      <c r="W438" s="339" t="str">
        <f t="shared" si="67"/>
        <v/>
      </c>
      <c r="X438" s="341" t="str">
        <f t="shared" si="68"/>
        <v/>
      </c>
      <c r="Y438" s="277"/>
      <c r="AR438" t="str">
        <f t="shared" si="69"/>
        <v/>
      </c>
      <c r="AS438" t="str">
        <f t="shared" si="70"/>
        <v/>
      </c>
    </row>
    <row r="439" spans="1:45">
      <c r="A439" s="294"/>
      <c r="B439" s="295"/>
      <c r="C439" s="296"/>
      <c r="D439" s="296"/>
      <c r="E439" s="296"/>
      <c r="F439" s="296"/>
      <c r="G439" s="297"/>
      <c r="H439" s="303"/>
      <c r="I439" s="298"/>
      <c r="J439" s="298"/>
      <c r="K439" s="299"/>
      <c r="L439" s="304"/>
      <c r="M439" s="300"/>
      <c r="N439" s="301"/>
      <c r="P439" s="193" t="str">
        <f>IF(R439 = "", "", COUNT(R$4:$R439))</f>
        <v/>
      </c>
      <c r="Q439" s="193" t="str">
        <f t="shared" si="61"/>
        <v/>
      </c>
      <c r="R439" s="194" t="str">
        <f t="shared" si="62"/>
        <v/>
      </c>
      <c r="S439" s="195" t="str">
        <f t="shared" si="64"/>
        <v/>
      </c>
      <c r="T439" s="196" t="str">
        <f t="shared" si="65"/>
        <v/>
      </c>
      <c r="U439" s="197" t="str">
        <f t="shared" si="66"/>
        <v/>
      </c>
      <c r="V439" s="198" t="str">
        <f t="shared" si="63"/>
        <v/>
      </c>
      <c r="W439" s="339" t="str">
        <f t="shared" si="67"/>
        <v/>
      </c>
      <c r="X439" s="341" t="str">
        <f t="shared" si="68"/>
        <v/>
      </c>
      <c r="Y439" s="277"/>
      <c r="AR439" t="str">
        <f t="shared" si="69"/>
        <v/>
      </c>
      <c r="AS439" t="str">
        <f t="shared" si="70"/>
        <v/>
      </c>
    </row>
    <row r="440" spans="1:45">
      <c r="A440" s="294"/>
      <c r="B440" s="295"/>
      <c r="C440" s="296"/>
      <c r="D440" s="296"/>
      <c r="E440" s="296"/>
      <c r="F440" s="296"/>
      <c r="G440" s="297"/>
      <c r="H440" s="303"/>
      <c r="I440" s="298"/>
      <c r="J440" s="298"/>
      <c r="K440" s="299"/>
      <c r="L440" s="304"/>
      <c r="M440" s="300"/>
      <c r="N440" s="301"/>
      <c r="P440" s="193" t="str">
        <f>IF(R440 = "", "", COUNT(R$4:$R440))</f>
        <v/>
      </c>
      <c r="Q440" s="193" t="str">
        <f t="shared" si="61"/>
        <v/>
      </c>
      <c r="R440" s="194" t="str">
        <f t="shared" si="62"/>
        <v/>
      </c>
      <c r="S440" s="195" t="str">
        <f t="shared" si="64"/>
        <v/>
      </c>
      <c r="T440" s="196" t="str">
        <f t="shared" si="65"/>
        <v/>
      </c>
      <c r="U440" s="197" t="str">
        <f t="shared" si="66"/>
        <v/>
      </c>
      <c r="V440" s="198" t="str">
        <f t="shared" si="63"/>
        <v/>
      </c>
      <c r="W440" s="339" t="str">
        <f t="shared" si="67"/>
        <v/>
      </c>
      <c r="X440" s="341" t="str">
        <f t="shared" si="68"/>
        <v/>
      </c>
      <c r="Y440" s="277"/>
      <c r="AR440" t="str">
        <f t="shared" si="69"/>
        <v/>
      </c>
      <c r="AS440" t="str">
        <f t="shared" si="70"/>
        <v/>
      </c>
    </row>
    <row r="441" spans="1:45">
      <c r="A441" s="294"/>
      <c r="B441" s="295"/>
      <c r="C441" s="296"/>
      <c r="D441" s="296"/>
      <c r="E441" s="296"/>
      <c r="F441" s="296"/>
      <c r="G441" s="297"/>
      <c r="H441" s="303"/>
      <c r="I441" s="298"/>
      <c r="J441" s="298"/>
      <c r="K441" s="299"/>
      <c r="L441" s="304"/>
      <c r="M441" s="300"/>
      <c r="N441" s="301"/>
      <c r="P441" s="193" t="str">
        <f>IF(R441 = "", "", COUNT(R$4:$R441))</f>
        <v/>
      </c>
      <c r="Q441" s="193" t="str">
        <f t="shared" si="61"/>
        <v/>
      </c>
      <c r="R441" s="194" t="str">
        <f t="shared" si="62"/>
        <v/>
      </c>
      <c r="S441" s="195" t="str">
        <f t="shared" si="64"/>
        <v/>
      </c>
      <c r="T441" s="196" t="str">
        <f t="shared" si="65"/>
        <v/>
      </c>
      <c r="U441" s="197" t="str">
        <f t="shared" si="66"/>
        <v/>
      </c>
      <c r="V441" s="198" t="str">
        <f t="shared" si="63"/>
        <v/>
      </c>
      <c r="W441" s="339" t="str">
        <f t="shared" si="67"/>
        <v/>
      </c>
      <c r="X441" s="341" t="str">
        <f t="shared" si="68"/>
        <v/>
      </c>
      <c r="Y441" s="277"/>
      <c r="AR441" t="str">
        <f t="shared" si="69"/>
        <v/>
      </c>
      <c r="AS441" t="str">
        <f t="shared" si="70"/>
        <v/>
      </c>
    </row>
    <row r="442" spans="1:45">
      <c r="A442" s="294"/>
      <c r="B442" s="295"/>
      <c r="C442" s="296"/>
      <c r="D442" s="296"/>
      <c r="E442" s="296"/>
      <c r="F442" s="296"/>
      <c r="G442" s="297"/>
      <c r="H442" s="303"/>
      <c r="I442" s="298"/>
      <c r="J442" s="298"/>
      <c r="K442" s="299"/>
      <c r="L442" s="304"/>
      <c r="M442" s="300"/>
      <c r="N442" s="301"/>
      <c r="P442" s="193" t="str">
        <f>IF(R442 = "", "", COUNT(R$4:$R442))</f>
        <v/>
      </c>
      <c r="Q442" s="193" t="str">
        <f t="shared" si="61"/>
        <v/>
      </c>
      <c r="R442" s="194" t="str">
        <f t="shared" si="62"/>
        <v/>
      </c>
      <c r="S442" s="195" t="str">
        <f t="shared" si="64"/>
        <v/>
      </c>
      <c r="T442" s="196" t="str">
        <f t="shared" si="65"/>
        <v/>
      </c>
      <c r="U442" s="197" t="str">
        <f t="shared" si="66"/>
        <v/>
      </c>
      <c r="V442" s="198" t="str">
        <f t="shared" si="63"/>
        <v/>
      </c>
      <c r="W442" s="339" t="str">
        <f t="shared" si="67"/>
        <v/>
      </c>
      <c r="X442" s="341" t="str">
        <f t="shared" si="68"/>
        <v/>
      </c>
      <c r="Y442" s="277"/>
      <c r="AR442" t="str">
        <f t="shared" si="69"/>
        <v/>
      </c>
      <c r="AS442" t="str">
        <f t="shared" si="70"/>
        <v/>
      </c>
    </row>
    <row r="443" spans="1:45">
      <c r="A443" s="294"/>
      <c r="B443" s="295"/>
      <c r="C443" s="296"/>
      <c r="D443" s="296"/>
      <c r="E443" s="296"/>
      <c r="F443" s="296"/>
      <c r="G443" s="297"/>
      <c r="H443" s="303"/>
      <c r="I443" s="298"/>
      <c r="J443" s="298"/>
      <c r="K443" s="299"/>
      <c r="L443" s="304"/>
      <c r="M443" s="300"/>
      <c r="N443" s="301"/>
      <c r="P443" s="193" t="str">
        <f>IF(R443 = "", "", COUNT(R$4:$R443))</f>
        <v/>
      </c>
      <c r="Q443" s="193" t="str">
        <f t="shared" si="61"/>
        <v/>
      </c>
      <c r="R443" s="194" t="str">
        <f t="shared" si="62"/>
        <v/>
      </c>
      <c r="S443" s="195" t="str">
        <f t="shared" si="64"/>
        <v/>
      </c>
      <c r="T443" s="196" t="str">
        <f t="shared" si="65"/>
        <v/>
      </c>
      <c r="U443" s="197" t="str">
        <f t="shared" si="66"/>
        <v/>
      </c>
      <c r="V443" s="198" t="str">
        <f t="shared" si="63"/>
        <v/>
      </c>
      <c r="W443" s="339" t="str">
        <f t="shared" si="67"/>
        <v/>
      </c>
      <c r="X443" s="341" t="str">
        <f t="shared" si="68"/>
        <v/>
      </c>
      <c r="Y443" s="277"/>
      <c r="AR443" t="str">
        <f t="shared" si="69"/>
        <v/>
      </c>
      <c r="AS443" t="str">
        <f t="shared" si="70"/>
        <v/>
      </c>
    </row>
    <row r="444" spans="1:45">
      <c r="A444" s="294"/>
      <c r="B444" s="295"/>
      <c r="C444" s="296"/>
      <c r="D444" s="296"/>
      <c r="E444" s="296"/>
      <c r="F444" s="296"/>
      <c r="G444" s="297"/>
      <c r="H444" s="303"/>
      <c r="I444" s="298"/>
      <c r="J444" s="298"/>
      <c r="K444" s="299"/>
      <c r="L444" s="304"/>
      <c r="M444" s="300"/>
      <c r="N444" s="301"/>
      <c r="P444" s="193" t="str">
        <f>IF(R444 = "", "", COUNT(R$4:$R444))</f>
        <v/>
      </c>
      <c r="Q444" s="193" t="str">
        <f t="shared" si="61"/>
        <v/>
      </c>
      <c r="R444" s="194" t="str">
        <f t="shared" si="62"/>
        <v/>
      </c>
      <c r="S444" s="195" t="str">
        <f t="shared" si="64"/>
        <v/>
      </c>
      <c r="T444" s="196" t="str">
        <f t="shared" si="65"/>
        <v/>
      </c>
      <c r="U444" s="197" t="str">
        <f t="shared" si="66"/>
        <v/>
      </c>
      <c r="V444" s="198" t="str">
        <f t="shared" si="63"/>
        <v/>
      </c>
      <c r="W444" s="339" t="str">
        <f t="shared" si="67"/>
        <v/>
      </c>
      <c r="X444" s="341" t="str">
        <f t="shared" si="68"/>
        <v/>
      </c>
      <c r="Y444" s="277"/>
      <c r="AR444" t="str">
        <f t="shared" si="69"/>
        <v/>
      </c>
      <c r="AS444" t="str">
        <f t="shared" si="70"/>
        <v/>
      </c>
    </row>
    <row r="445" spans="1:45">
      <c r="A445" s="294"/>
      <c r="B445" s="295"/>
      <c r="C445" s="296"/>
      <c r="D445" s="296"/>
      <c r="E445" s="296"/>
      <c r="F445" s="296"/>
      <c r="G445" s="297"/>
      <c r="H445" s="303"/>
      <c r="I445" s="298"/>
      <c r="J445" s="298"/>
      <c r="K445" s="299"/>
      <c r="L445" s="304"/>
      <c r="M445" s="300"/>
      <c r="N445" s="301"/>
      <c r="P445" s="193" t="str">
        <f>IF(R445 = "", "", COUNT(R$4:$R445))</f>
        <v/>
      </c>
      <c r="Q445" s="193" t="str">
        <f t="shared" si="61"/>
        <v/>
      </c>
      <c r="R445" s="194" t="str">
        <f t="shared" si="62"/>
        <v/>
      </c>
      <c r="S445" s="195" t="str">
        <f t="shared" si="64"/>
        <v/>
      </c>
      <c r="T445" s="196" t="str">
        <f t="shared" si="65"/>
        <v/>
      </c>
      <c r="U445" s="197" t="str">
        <f t="shared" si="66"/>
        <v/>
      </c>
      <c r="V445" s="198" t="str">
        <f t="shared" si="63"/>
        <v/>
      </c>
      <c r="W445" s="339" t="str">
        <f t="shared" si="67"/>
        <v/>
      </c>
      <c r="X445" s="341" t="str">
        <f t="shared" si="68"/>
        <v/>
      </c>
      <c r="Y445" s="277"/>
      <c r="AR445" t="str">
        <f t="shared" si="69"/>
        <v/>
      </c>
      <c r="AS445" t="str">
        <f t="shared" si="70"/>
        <v/>
      </c>
    </row>
    <row r="446" spans="1:45">
      <c r="A446" s="294"/>
      <c r="B446" s="295"/>
      <c r="C446" s="296"/>
      <c r="D446" s="296"/>
      <c r="E446" s="296"/>
      <c r="F446" s="296"/>
      <c r="G446" s="297"/>
      <c r="H446" s="303"/>
      <c r="I446" s="298"/>
      <c r="J446" s="298"/>
      <c r="K446" s="299"/>
      <c r="L446" s="304"/>
      <c r="M446" s="300"/>
      <c r="N446" s="301"/>
      <c r="P446" s="193" t="str">
        <f>IF(R446 = "", "", COUNT(R$4:$R446))</f>
        <v/>
      </c>
      <c r="Q446" s="193" t="str">
        <f t="shared" si="61"/>
        <v/>
      </c>
      <c r="R446" s="194" t="str">
        <f t="shared" si="62"/>
        <v/>
      </c>
      <c r="S446" s="195" t="str">
        <f t="shared" si="64"/>
        <v/>
      </c>
      <c r="T446" s="196" t="str">
        <f t="shared" si="65"/>
        <v/>
      </c>
      <c r="U446" s="197" t="str">
        <f t="shared" si="66"/>
        <v/>
      </c>
      <c r="V446" s="198" t="str">
        <f t="shared" si="63"/>
        <v/>
      </c>
      <c r="W446" s="339" t="str">
        <f t="shared" si="67"/>
        <v/>
      </c>
      <c r="X446" s="341" t="str">
        <f t="shared" si="68"/>
        <v/>
      </c>
      <c r="Y446" s="277"/>
      <c r="AR446" t="str">
        <f t="shared" si="69"/>
        <v/>
      </c>
      <c r="AS446" t="str">
        <f t="shared" si="70"/>
        <v/>
      </c>
    </row>
    <row r="447" spans="1:45">
      <c r="A447" s="294"/>
      <c r="B447" s="295"/>
      <c r="C447" s="296"/>
      <c r="D447" s="296"/>
      <c r="E447" s="296"/>
      <c r="F447" s="296"/>
      <c r="G447" s="297"/>
      <c r="H447" s="303"/>
      <c r="I447" s="298"/>
      <c r="J447" s="298"/>
      <c r="K447" s="299"/>
      <c r="L447" s="304"/>
      <c r="M447" s="300"/>
      <c r="N447" s="301"/>
      <c r="P447" s="193" t="str">
        <f>IF(R447 = "", "", COUNT(R$4:$R447))</f>
        <v/>
      </c>
      <c r="Q447" s="193" t="str">
        <f t="shared" si="61"/>
        <v/>
      </c>
      <c r="R447" s="194" t="str">
        <f t="shared" si="62"/>
        <v/>
      </c>
      <c r="S447" s="195" t="str">
        <f t="shared" si="64"/>
        <v/>
      </c>
      <c r="T447" s="196" t="str">
        <f t="shared" si="65"/>
        <v/>
      </c>
      <c r="U447" s="197" t="str">
        <f t="shared" si="66"/>
        <v/>
      </c>
      <c r="V447" s="198" t="str">
        <f t="shared" si="63"/>
        <v/>
      </c>
      <c r="W447" s="339" t="str">
        <f t="shared" si="67"/>
        <v/>
      </c>
      <c r="X447" s="341" t="str">
        <f t="shared" si="68"/>
        <v/>
      </c>
      <c r="Y447" s="277"/>
      <c r="AR447" t="str">
        <f t="shared" si="69"/>
        <v/>
      </c>
      <c r="AS447" t="str">
        <f t="shared" si="70"/>
        <v/>
      </c>
    </row>
    <row r="448" spans="1:45">
      <c r="A448" s="294"/>
      <c r="B448" s="295"/>
      <c r="C448" s="296"/>
      <c r="D448" s="296"/>
      <c r="E448" s="296"/>
      <c r="F448" s="296"/>
      <c r="G448" s="297"/>
      <c r="H448" s="303"/>
      <c r="I448" s="298"/>
      <c r="J448" s="298"/>
      <c r="K448" s="299"/>
      <c r="L448" s="304"/>
      <c r="M448" s="300"/>
      <c r="N448" s="301"/>
      <c r="P448" s="193" t="str">
        <f>IF(R448 = "", "", COUNT(R$4:$R448))</f>
        <v/>
      </c>
      <c r="Q448" s="193" t="str">
        <f t="shared" si="61"/>
        <v/>
      </c>
      <c r="R448" s="194" t="str">
        <f t="shared" si="62"/>
        <v/>
      </c>
      <c r="S448" s="195" t="str">
        <f t="shared" si="64"/>
        <v/>
      </c>
      <c r="T448" s="196" t="str">
        <f t="shared" si="65"/>
        <v/>
      </c>
      <c r="U448" s="197" t="str">
        <f t="shared" si="66"/>
        <v/>
      </c>
      <c r="V448" s="198" t="str">
        <f t="shared" si="63"/>
        <v/>
      </c>
      <c r="W448" s="339" t="str">
        <f t="shared" si="67"/>
        <v/>
      </c>
      <c r="X448" s="341" t="str">
        <f t="shared" si="68"/>
        <v/>
      </c>
      <c r="Y448" s="277"/>
      <c r="AR448" t="str">
        <f t="shared" si="69"/>
        <v/>
      </c>
      <c r="AS448" t="str">
        <f t="shared" si="70"/>
        <v/>
      </c>
    </row>
    <row r="449" spans="1:45">
      <c r="A449" s="294"/>
      <c r="B449" s="295"/>
      <c r="C449" s="296"/>
      <c r="D449" s="296"/>
      <c r="E449" s="296"/>
      <c r="F449" s="296"/>
      <c r="G449" s="297"/>
      <c r="H449" s="303"/>
      <c r="I449" s="298"/>
      <c r="J449" s="298"/>
      <c r="K449" s="299"/>
      <c r="L449" s="304"/>
      <c r="M449" s="300"/>
      <c r="N449" s="301"/>
      <c r="P449" s="193" t="str">
        <f>IF(R449 = "", "", COUNT(R$4:$R449))</f>
        <v/>
      </c>
      <c r="Q449" s="193" t="str">
        <f t="shared" si="61"/>
        <v/>
      </c>
      <c r="R449" s="194" t="str">
        <f t="shared" si="62"/>
        <v/>
      </c>
      <c r="S449" s="195" t="str">
        <f t="shared" si="64"/>
        <v/>
      </c>
      <c r="T449" s="196" t="str">
        <f t="shared" si="65"/>
        <v/>
      </c>
      <c r="U449" s="197" t="str">
        <f t="shared" si="66"/>
        <v/>
      </c>
      <c r="V449" s="198" t="str">
        <f t="shared" si="63"/>
        <v/>
      </c>
      <c r="W449" s="339" t="str">
        <f t="shared" si="67"/>
        <v/>
      </c>
      <c r="X449" s="341" t="str">
        <f t="shared" si="68"/>
        <v/>
      </c>
      <c r="Y449" s="277"/>
      <c r="AR449" t="str">
        <f t="shared" si="69"/>
        <v/>
      </c>
      <c r="AS449" t="str">
        <f t="shared" si="70"/>
        <v/>
      </c>
    </row>
    <row r="450" spans="1:45">
      <c r="A450" s="294"/>
      <c r="B450" s="295"/>
      <c r="C450" s="296"/>
      <c r="D450" s="296"/>
      <c r="E450" s="296"/>
      <c r="F450" s="296"/>
      <c r="G450" s="297"/>
      <c r="H450" s="303"/>
      <c r="I450" s="298"/>
      <c r="J450" s="298"/>
      <c r="K450" s="299"/>
      <c r="L450" s="304"/>
      <c r="M450" s="300"/>
      <c r="N450" s="301"/>
      <c r="P450" s="193" t="str">
        <f>IF(R450 = "", "", COUNT(R$4:$R450))</f>
        <v/>
      </c>
      <c r="Q450" s="193" t="str">
        <f t="shared" si="61"/>
        <v/>
      </c>
      <c r="R450" s="194" t="str">
        <f t="shared" si="62"/>
        <v/>
      </c>
      <c r="S450" s="195" t="str">
        <f t="shared" si="64"/>
        <v/>
      </c>
      <c r="T450" s="196" t="str">
        <f t="shared" si="65"/>
        <v/>
      </c>
      <c r="U450" s="197" t="str">
        <f t="shared" si="66"/>
        <v/>
      </c>
      <c r="V450" s="198" t="str">
        <f t="shared" si="63"/>
        <v/>
      </c>
      <c r="W450" s="339" t="str">
        <f t="shared" si="67"/>
        <v/>
      </c>
      <c r="X450" s="341" t="str">
        <f t="shared" si="68"/>
        <v/>
      </c>
      <c r="Y450" s="277"/>
      <c r="AR450" t="str">
        <f t="shared" si="69"/>
        <v/>
      </c>
      <c r="AS450" t="str">
        <f t="shared" si="70"/>
        <v/>
      </c>
    </row>
    <row r="451" spans="1:45">
      <c r="A451" s="294"/>
      <c r="B451" s="295"/>
      <c r="C451" s="296"/>
      <c r="D451" s="296"/>
      <c r="E451" s="296"/>
      <c r="F451" s="296"/>
      <c r="G451" s="297"/>
      <c r="H451" s="303"/>
      <c r="I451" s="298"/>
      <c r="J451" s="298"/>
      <c r="K451" s="299"/>
      <c r="L451" s="304"/>
      <c r="M451" s="300"/>
      <c r="N451" s="301"/>
      <c r="P451" s="193" t="str">
        <f>IF(R451 = "", "", COUNT(R$4:$R451))</f>
        <v/>
      </c>
      <c r="Q451" s="193" t="str">
        <f t="shared" si="61"/>
        <v/>
      </c>
      <c r="R451" s="194" t="str">
        <f t="shared" si="62"/>
        <v/>
      </c>
      <c r="S451" s="195" t="str">
        <f t="shared" si="64"/>
        <v/>
      </c>
      <c r="T451" s="196" t="str">
        <f t="shared" si="65"/>
        <v/>
      </c>
      <c r="U451" s="197" t="str">
        <f t="shared" si="66"/>
        <v/>
      </c>
      <c r="V451" s="198" t="str">
        <f t="shared" si="63"/>
        <v/>
      </c>
      <c r="W451" s="339" t="str">
        <f t="shared" si="67"/>
        <v/>
      </c>
      <c r="X451" s="341" t="str">
        <f t="shared" si="68"/>
        <v/>
      </c>
      <c r="Y451" s="277"/>
      <c r="AR451" t="str">
        <f t="shared" si="69"/>
        <v/>
      </c>
      <c r="AS451" t="str">
        <f t="shared" si="70"/>
        <v/>
      </c>
    </row>
    <row r="452" spans="1:45">
      <c r="A452" s="294"/>
      <c r="B452" s="295"/>
      <c r="C452" s="296"/>
      <c r="D452" s="296"/>
      <c r="E452" s="296"/>
      <c r="F452" s="296"/>
      <c r="G452" s="297"/>
      <c r="H452" s="303"/>
      <c r="I452" s="298"/>
      <c r="J452" s="298"/>
      <c r="K452" s="299"/>
      <c r="L452" s="304"/>
      <c r="M452" s="300"/>
      <c r="N452" s="301"/>
      <c r="P452" s="193" t="str">
        <f>IF(R452 = "", "", COUNT(R$4:$R452))</f>
        <v/>
      </c>
      <c r="Q452" s="193" t="str">
        <f t="shared" ref="Q452:Q515" si="71">IF(C452 &gt; 0, YEAR(B452), "")</f>
        <v/>
      </c>
      <c r="R452" s="194" t="str">
        <f t="shared" ref="R452:R515" si="72">IF(A452="", "", IF(G452="",1,IF(G452="O",1,IF(G452="C",8.4,IF(G452="B",8.4,IF(G452="A",76.8,IF(G452="K",76.8,"ERR")))))))</f>
        <v/>
      </c>
      <c r="S452" s="195" t="str">
        <f t="shared" si="64"/>
        <v/>
      </c>
      <c r="T452" s="196" t="str">
        <f t="shared" si="65"/>
        <v/>
      </c>
      <c r="U452" s="197" t="str">
        <f t="shared" si="66"/>
        <v/>
      </c>
      <c r="V452" s="198" t="str">
        <f t="shared" ref="V452:V515" si="73">IF(IF(M452&lt;&gt;"",G452,"")=0, "O", IF(M452&lt;&gt;"",G452,""))</f>
        <v/>
      </c>
      <c r="W452" s="339" t="str">
        <f t="shared" si="67"/>
        <v/>
      </c>
      <c r="X452" s="341" t="str">
        <f t="shared" si="68"/>
        <v/>
      </c>
      <c r="Y452" s="277"/>
      <c r="AR452" t="str">
        <f t="shared" si="69"/>
        <v/>
      </c>
      <c r="AS452" t="str">
        <f t="shared" si="70"/>
        <v/>
      </c>
    </row>
    <row r="453" spans="1:45">
      <c r="A453" s="294"/>
      <c r="B453" s="295"/>
      <c r="C453" s="296"/>
      <c r="D453" s="296"/>
      <c r="E453" s="296"/>
      <c r="F453" s="296"/>
      <c r="G453" s="297"/>
      <c r="H453" s="303"/>
      <c r="I453" s="298"/>
      <c r="J453" s="298"/>
      <c r="K453" s="299"/>
      <c r="L453" s="304"/>
      <c r="M453" s="300"/>
      <c r="N453" s="301"/>
      <c r="P453" s="193" t="str">
        <f>IF(R453 = "", "", COUNT(R$4:$R453))</f>
        <v/>
      </c>
      <c r="Q453" s="193" t="str">
        <f t="shared" si="71"/>
        <v/>
      </c>
      <c r="R453" s="194" t="str">
        <f t="shared" si="72"/>
        <v/>
      </c>
      <c r="S453" s="195" t="str">
        <f t="shared" ref="S453:S516" si="74">IF(L453&lt;&gt;"",R453,"")</f>
        <v/>
      </c>
      <c r="T453" s="196" t="str">
        <f t="shared" ref="T453:T516" si="75">IF(IF(L453&lt;&gt;"",G453,"")=0, "O", IF(L453&lt;&gt;"",G453,""))</f>
        <v/>
      </c>
      <c r="U453" s="197" t="str">
        <f t="shared" ref="U453:U516" si="76">IF(M453&lt;&gt;"",R453,"")</f>
        <v/>
      </c>
      <c r="V453" s="198" t="str">
        <f t="shared" si="73"/>
        <v/>
      </c>
      <c r="W453" s="339" t="str">
        <f t="shared" ref="W453:W516" si="77">IF(N453&lt;&gt;"",R453,"")</f>
        <v/>
      </c>
      <c r="X453" s="341" t="str">
        <f t="shared" ref="X453:X516" si="78">IF(IF(N453&lt;&gt;"",G453,"")=0, "O", IF(N453&lt;&gt;"",G453,""))</f>
        <v/>
      </c>
      <c r="Y453" s="277"/>
      <c r="AR453" t="str">
        <f t="shared" ref="AR453:AR516" si="79">IF(P453&gt;0, P453, "")</f>
        <v/>
      </c>
      <c r="AS453" t="str">
        <f t="shared" ref="AS453:AS516" si="80">IF(OR(L453="Y",M453="Y",N453="Y"),"Y","")</f>
        <v/>
      </c>
    </row>
    <row r="454" spans="1:45">
      <c r="A454" s="294"/>
      <c r="B454" s="295"/>
      <c r="C454" s="296"/>
      <c r="D454" s="296"/>
      <c r="E454" s="296"/>
      <c r="F454" s="296"/>
      <c r="G454" s="297"/>
      <c r="H454" s="303"/>
      <c r="I454" s="298"/>
      <c r="J454" s="298"/>
      <c r="K454" s="299"/>
      <c r="L454" s="304"/>
      <c r="M454" s="300"/>
      <c r="N454" s="301"/>
      <c r="P454" s="193" t="str">
        <f>IF(R454 = "", "", COUNT(R$4:$R454))</f>
        <v/>
      </c>
      <c r="Q454" s="193" t="str">
        <f t="shared" si="71"/>
        <v/>
      </c>
      <c r="R454" s="194" t="str">
        <f t="shared" si="72"/>
        <v/>
      </c>
      <c r="S454" s="195" t="str">
        <f t="shared" si="74"/>
        <v/>
      </c>
      <c r="T454" s="196" t="str">
        <f t="shared" si="75"/>
        <v/>
      </c>
      <c r="U454" s="197" t="str">
        <f t="shared" si="76"/>
        <v/>
      </c>
      <c r="V454" s="198" t="str">
        <f t="shared" si="73"/>
        <v/>
      </c>
      <c r="W454" s="339" t="str">
        <f t="shared" si="77"/>
        <v/>
      </c>
      <c r="X454" s="341" t="str">
        <f t="shared" si="78"/>
        <v/>
      </c>
      <c r="Y454" s="277"/>
      <c r="AR454" t="str">
        <f t="shared" si="79"/>
        <v/>
      </c>
      <c r="AS454" t="str">
        <f t="shared" si="80"/>
        <v/>
      </c>
    </row>
    <row r="455" spans="1:45">
      <c r="A455" s="294"/>
      <c r="B455" s="295"/>
      <c r="C455" s="296"/>
      <c r="D455" s="296"/>
      <c r="E455" s="296"/>
      <c r="F455" s="296"/>
      <c r="G455" s="297"/>
      <c r="H455" s="303"/>
      <c r="I455" s="298"/>
      <c r="J455" s="298"/>
      <c r="K455" s="299"/>
      <c r="L455" s="304"/>
      <c r="M455" s="300"/>
      <c r="N455" s="301"/>
      <c r="P455" s="193" t="str">
        <f>IF(R455 = "", "", COUNT(R$4:$R455))</f>
        <v/>
      </c>
      <c r="Q455" s="193" t="str">
        <f t="shared" si="71"/>
        <v/>
      </c>
      <c r="R455" s="194" t="str">
        <f t="shared" si="72"/>
        <v/>
      </c>
      <c r="S455" s="195" t="str">
        <f t="shared" si="74"/>
        <v/>
      </c>
      <c r="T455" s="196" t="str">
        <f t="shared" si="75"/>
        <v/>
      </c>
      <c r="U455" s="197" t="str">
        <f t="shared" si="76"/>
        <v/>
      </c>
      <c r="V455" s="198" t="str">
        <f t="shared" si="73"/>
        <v/>
      </c>
      <c r="W455" s="339" t="str">
        <f t="shared" si="77"/>
        <v/>
      </c>
      <c r="X455" s="341" t="str">
        <f t="shared" si="78"/>
        <v/>
      </c>
      <c r="Y455" s="277"/>
      <c r="AR455" t="str">
        <f t="shared" si="79"/>
        <v/>
      </c>
      <c r="AS455" t="str">
        <f t="shared" si="80"/>
        <v/>
      </c>
    </row>
    <row r="456" spans="1:45">
      <c r="A456" s="294"/>
      <c r="B456" s="295"/>
      <c r="C456" s="296"/>
      <c r="D456" s="296"/>
      <c r="E456" s="296"/>
      <c r="F456" s="296"/>
      <c r="G456" s="297"/>
      <c r="H456" s="303"/>
      <c r="I456" s="298"/>
      <c r="J456" s="298"/>
      <c r="K456" s="299"/>
      <c r="L456" s="304"/>
      <c r="M456" s="300"/>
      <c r="N456" s="301"/>
      <c r="P456" s="193" t="str">
        <f>IF(R456 = "", "", COUNT(R$4:$R456))</f>
        <v/>
      </c>
      <c r="Q456" s="193" t="str">
        <f t="shared" si="71"/>
        <v/>
      </c>
      <c r="R456" s="194" t="str">
        <f t="shared" si="72"/>
        <v/>
      </c>
      <c r="S456" s="195" t="str">
        <f t="shared" si="74"/>
        <v/>
      </c>
      <c r="T456" s="196" t="str">
        <f t="shared" si="75"/>
        <v/>
      </c>
      <c r="U456" s="197" t="str">
        <f t="shared" si="76"/>
        <v/>
      </c>
      <c r="V456" s="198" t="str">
        <f t="shared" si="73"/>
        <v/>
      </c>
      <c r="W456" s="339" t="str">
        <f t="shared" si="77"/>
        <v/>
      </c>
      <c r="X456" s="341" t="str">
        <f t="shared" si="78"/>
        <v/>
      </c>
      <c r="Y456" s="277"/>
      <c r="AR456" t="str">
        <f t="shared" si="79"/>
        <v/>
      </c>
      <c r="AS456" t="str">
        <f t="shared" si="80"/>
        <v/>
      </c>
    </row>
    <row r="457" spans="1:45">
      <c r="A457" s="294"/>
      <c r="B457" s="295"/>
      <c r="C457" s="296"/>
      <c r="D457" s="296"/>
      <c r="E457" s="296"/>
      <c r="F457" s="296"/>
      <c r="G457" s="297"/>
      <c r="H457" s="303"/>
      <c r="I457" s="298"/>
      <c r="J457" s="298"/>
      <c r="K457" s="299"/>
      <c r="L457" s="304"/>
      <c r="M457" s="300"/>
      <c r="N457" s="301"/>
      <c r="P457" s="193" t="str">
        <f>IF(R457 = "", "", COUNT(R$4:$R457))</f>
        <v/>
      </c>
      <c r="Q457" s="193" t="str">
        <f t="shared" si="71"/>
        <v/>
      </c>
      <c r="R457" s="194" t="str">
        <f t="shared" si="72"/>
        <v/>
      </c>
      <c r="S457" s="195" t="str">
        <f t="shared" si="74"/>
        <v/>
      </c>
      <c r="T457" s="196" t="str">
        <f t="shared" si="75"/>
        <v/>
      </c>
      <c r="U457" s="197" t="str">
        <f t="shared" si="76"/>
        <v/>
      </c>
      <c r="V457" s="198" t="str">
        <f t="shared" si="73"/>
        <v/>
      </c>
      <c r="W457" s="339" t="str">
        <f t="shared" si="77"/>
        <v/>
      </c>
      <c r="X457" s="341" t="str">
        <f t="shared" si="78"/>
        <v/>
      </c>
      <c r="Y457" s="277"/>
      <c r="AR457" t="str">
        <f t="shared" si="79"/>
        <v/>
      </c>
      <c r="AS457" t="str">
        <f t="shared" si="80"/>
        <v/>
      </c>
    </row>
    <row r="458" spans="1:45">
      <c r="A458" s="294"/>
      <c r="B458" s="295"/>
      <c r="C458" s="296"/>
      <c r="D458" s="296"/>
      <c r="E458" s="296"/>
      <c r="F458" s="296"/>
      <c r="G458" s="297"/>
      <c r="H458" s="303"/>
      <c r="I458" s="298"/>
      <c r="J458" s="298"/>
      <c r="K458" s="299"/>
      <c r="L458" s="304"/>
      <c r="M458" s="300"/>
      <c r="N458" s="301"/>
      <c r="P458" s="193" t="str">
        <f>IF(R458 = "", "", COUNT(R$4:$R458))</f>
        <v/>
      </c>
      <c r="Q458" s="193" t="str">
        <f t="shared" si="71"/>
        <v/>
      </c>
      <c r="R458" s="194" t="str">
        <f t="shared" si="72"/>
        <v/>
      </c>
      <c r="S458" s="195" t="str">
        <f t="shared" si="74"/>
        <v/>
      </c>
      <c r="T458" s="196" t="str">
        <f t="shared" si="75"/>
        <v/>
      </c>
      <c r="U458" s="197" t="str">
        <f t="shared" si="76"/>
        <v/>
      </c>
      <c r="V458" s="198" t="str">
        <f t="shared" si="73"/>
        <v/>
      </c>
      <c r="W458" s="339" t="str">
        <f t="shared" si="77"/>
        <v/>
      </c>
      <c r="X458" s="341" t="str">
        <f t="shared" si="78"/>
        <v/>
      </c>
      <c r="Y458" s="277"/>
      <c r="AR458" t="str">
        <f t="shared" si="79"/>
        <v/>
      </c>
      <c r="AS458" t="str">
        <f t="shared" si="80"/>
        <v/>
      </c>
    </row>
    <row r="459" spans="1:45">
      <c r="A459" s="294"/>
      <c r="B459" s="295"/>
      <c r="C459" s="296"/>
      <c r="D459" s="296"/>
      <c r="E459" s="296"/>
      <c r="F459" s="296"/>
      <c r="G459" s="297"/>
      <c r="H459" s="303"/>
      <c r="I459" s="298"/>
      <c r="J459" s="298"/>
      <c r="K459" s="299"/>
      <c r="L459" s="304"/>
      <c r="M459" s="300"/>
      <c r="N459" s="301"/>
      <c r="P459" s="193" t="str">
        <f>IF(R459 = "", "", COUNT(R$4:$R459))</f>
        <v/>
      </c>
      <c r="Q459" s="193" t="str">
        <f t="shared" si="71"/>
        <v/>
      </c>
      <c r="R459" s="194" t="str">
        <f t="shared" si="72"/>
        <v/>
      </c>
      <c r="S459" s="195" t="str">
        <f t="shared" si="74"/>
        <v/>
      </c>
      <c r="T459" s="196" t="str">
        <f t="shared" si="75"/>
        <v/>
      </c>
      <c r="U459" s="197" t="str">
        <f t="shared" si="76"/>
        <v/>
      </c>
      <c r="V459" s="198" t="str">
        <f t="shared" si="73"/>
        <v/>
      </c>
      <c r="W459" s="339" t="str">
        <f t="shared" si="77"/>
        <v/>
      </c>
      <c r="X459" s="341" t="str">
        <f t="shared" si="78"/>
        <v/>
      </c>
      <c r="Y459" s="277"/>
      <c r="AR459" t="str">
        <f t="shared" si="79"/>
        <v/>
      </c>
      <c r="AS459" t="str">
        <f t="shared" si="80"/>
        <v/>
      </c>
    </row>
    <row r="460" spans="1:45">
      <c r="A460" s="294"/>
      <c r="B460" s="295"/>
      <c r="C460" s="296"/>
      <c r="D460" s="296"/>
      <c r="E460" s="296"/>
      <c r="F460" s="296"/>
      <c r="G460" s="297"/>
      <c r="H460" s="303"/>
      <c r="I460" s="298"/>
      <c r="J460" s="298"/>
      <c r="K460" s="299"/>
      <c r="L460" s="304"/>
      <c r="M460" s="300"/>
      <c r="N460" s="301"/>
      <c r="P460" s="193" t="str">
        <f>IF(R460 = "", "", COUNT(R$4:$R460))</f>
        <v/>
      </c>
      <c r="Q460" s="193" t="str">
        <f t="shared" si="71"/>
        <v/>
      </c>
      <c r="R460" s="194" t="str">
        <f t="shared" si="72"/>
        <v/>
      </c>
      <c r="S460" s="195" t="str">
        <f t="shared" si="74"/>
        <v/>
      </c>
      <c r="T460" s="196" t="str">
        <f t="shared" si="75"/>
        <v/>
      </c>
      <c r="U460" s="197" t="str">
        <f t="shared" si="76"/>
        <v/>
      </c>
      <c r="V460" s="198" t="str">
        <f t="shared" si="73"/>
        <v/>
      </c>
      <c r="W460" s="339" t="str">
        <f t="shared" si="77"/>
        <v/>
      </c>
      <c r="X460" s="341" t="str">
        <f t="shared" si="78"/>
        <v/>
      </c>
      <c r="Y460" s="277"/>
      <c r="AR460" t="str">
        <f t="shared" si="79"/>
        <v/>
      </c>
      <c r="AS460" t="str">
        <f t="shared" si="80"/>
        <v/>
      </c>
    </row>
    <row r="461" spans="1:45">
      <c r="A461" s="294"/>
      <c r="B461" s="295"/>
      <c r="C461" s="296"/>
      <c r="D461" s="296"/>
      <c r="E461" s="296"/>
      <c r="F461" s="296"/>
      <c r="G461" s="297"/>
      <c r="H461" s="303"/>
      <c r="I461" s="298"/>
      <c r="J461" s="298"/>
      <c r="K461" s="299"/>
      <c r="L461" s="304"/>
      <c r="M461" s="300"/>
      <c r="N461" s="301"/>
      <c r="P461" s="193" t="str">
        <f>IF(R461 = "", "", COUNT(R$4:$R461))</f>
        <v/>
      </c>
      <c r="Q461" s="193" t="str">
        <f t="shared" si="71"/>
        <v/>
      </c>
      <c r="R461" s="194" t="str">
        <f t="shared" si="72"/>
        <v/>
      </c>
      <c r="S461" s="195" t="str">
        <f t="shared" si="74"/>
        <v/>
      </c>
      <c r="T461" s="196" t="str">
        <f t="shared" si="75"/>
        <v/>
      </c>
      <c r="U461" s="197" t="str">
        <f t="shared" si="76"/>
        <v/>
      </c>
      <c r="V461" s="198" t="str">
        <f t="shared" si="73"/>
        <v/>
      </c>
      <c r="W461" s="339" t="str">
        <f t="shared" si="77"/>
        <v/>
      </c>
      <c r="X461" s="341" t="str">
        <f t="shared" si="78"/>
        <v/>
      </c>
      <c r="Y461" s="277"/>
      <c r="AR461" t="str">
        <f t="shared" si="79"/>
        <v/>
      </c>
      <c r="AS461" t="str">
        <f t="shared" si="80"/>
        <v/>
      </c>
    </row>
    <row r="462" spans="1:45">
      <c r="A462" s="294"/>
      <c r="B462" s="295"/>
      <c r="C462" s="296"/>
      <c r="D462" s="296"/>
      <c r="E462" s="296"/>
      <c r="F462" s="296"/>
      <c r="G462" s="297"/>
      <c r="H462" s="303"/>
      <c r="I462" s="298"/>
      <c r="J462" s="298"/>
      <c r="K462" s="299"/>
      <c r="L462" s="304"/>
      <c r="M462" s="300"/>
      <c r="N462" s="301"/>
      <c r="P462" s="193" t="str">
        <f>IF(R462 = "", "", COUNT(R$4:$R462))</f>
        <v/>
      </c>
      <c r="Q462" s="193" t="str">
        <f t="shared" si="71"/>
        <v/>
      </c>
      <c r="R462" s="194" t="str">
        <f t="shared" si="72"/>
        <v/>
      </c>
      <c r="S462" s="195" t="str">
        <f t="shared" si="74"/>
        <v/>
      </c>
      <c r="T462" s="196" t="str">
        <f t="shared" si="75"/>
        <v/>
      </c>
      <c r="U462" s="197" t="str">
        <f t="shared" si="76"/>
        <v/>
      </c>
      <c r="V462" s="198" t="str">
        <f t="shared" si="73"/>
        <v/>
      </c>
      <c r="W462" s="339" t="str">
        <f t="shared" si="77"/>
        <v/>
      </c>
      <c r="X462" s="341" t="str">
        <f t="shared" si="78"/>
        <v/>
      </c>
      <c r="Y462" s="277"/>
      <c r="AR462" t="str">
        <f t="shared" si="79"/>
        <v/>
      </c>
      <c r="AS462" t="str">
        <f t="shared" si="80"/>
        <v/>
      </c>
    </row>
    <row r="463" spans="1:45">
      <c r="A463" s="294"/>
      <c r="B463" s="295"/>
      <c r="C463" s="296"/>
      <c r="D463" s="296"/>
      <c r="E463" s="296"/>
      <c r="F463" s="296"/>
      <c r="G463" s="297"/>
      <c r="H463" s="303"/>
      <c r="I463" s="298"/>
      <c r="J463" s="298"/>
      <c r="K463" s="299"/>
      <c r="L463" s="304"/>
      <c r="M463" s="300"/>
      <c r="N463" s="301"/>
      <c r="P463" s="193" t="str">
        <f>IF(R463 = "", "", COUNT(R$4:$R463))</f>
        <v/>
      </c>
      <c r="Q463" s="193" t="str">
        <f t="shared" si="71"/>
        <v/>
      </c>
      <c r="R463" s="194" t="str">
        <f t="shared" si="72"/>
        <v/>
      </c>
      <c r="S463" s="195" t="str">
        <f t="shared" si="74"/>
        <v/>
      </c>
      <c r="T463" s="196" t="str">
        <f t="shared" si="75"/>
        <v/>
      </c>
      <c r="U463" s="197" t="str">
        <f t="shared" si="76"/>
        <v/>
      </c>
      <c r="V463" s="198" t="str">
        <f t="shared" si="73"/>
        <v/>
      </c>
      <c r="W463" s="339" t="str">
        <f t="shared" si="77"/>
        <v/>
      </c>
      <c r="X463" s="341" t="str">
        <f t="shared" si="78"/>
        <v/>
      </c>
      <c r="Y463" s="277"/>
      <c r="AR463" t="str">
        <f t="shared" si="79"/>
        <v/>
      </c>
      <c r="AS463" t="str">
        <f t="shared" si="80"/>
        <v/>
      </c>
    </row>
    <row r="464" spans="1:45">
      <c r="A464" s="294"/>
      <c r="B464" s="295"/>
      <c r="C464" s="296"/>
      <c r="D464" s="296"/>
      <c r="E464" s="296"/>
      <c r="F464" s="296"/>
      <c r="G464" s="297"/>
      <c r="H464" s="303"/>
      <c r="I464" s="298"/>
      <c r="J464" s="298"/>
      <c r="K464" s="299"/>
      <c r="L464" s="304"/>
      <c r="M464" s="300"/>
      <c r="N464" s="301"/>
      <c r="P464" s="193" t="str">
        <f>IF(R464 = "", "", COUNT(R$4:$R464))</f>
        <v/>
      </c>
      <c r="Q464" s="193" t="str">
        <f t="shared" si="71"/>
        <v/>
      </c>
      <c r="R464" s="194" t="str">
        <f t="shared" si="72"/>
        <v/>
      </c>
      <c r="S464" s="195" t="str">
        <f t="shared" si="74"/>
        <v/>
      </c>
      <c r="T464" s="196" t="str">
        <f t="shared" si="75"/>
        <v/>
      </c>
      <c r="U464" s="197" t="str">
        <f t="shared" si="76"/>
        <v/>
      </c>
      <c r="V464" s="198" t="str">
        <f t="shared" si="73"/>
        <v/>
      </c>
      <c r="W464" s="339" t="str">
        <f t="shared" si="77"/>
        <v/>
      </c>
      <c r="X464" s="341" t="str">
        <f t="shared" si="78"/>
        <v/>
      </c>
      <c r="Y464" s="277"/>
      <c r="AR464" t="str">
        <f t="shared" si="79"/>
        <v/>
      </c>
      <c r="AS464" t="str">
        <f t="shared" si="80"/>
        <v/>
      </c>
    </row>
    <row r="465" spans="1:45">
      <c r="A465" s="294"/>
      <c r="B465" s="295"/>
      <c r="C465" s="296"/>
      <c r="D465" s="296"/>
      <c r="E465" s="296"/>
      <c r="F465" s="296"/>
      <c r="G465" s="297"/>
      <c r="H465" s="303"/>
      <c r="I465" s="298"/>
      <c r="J465" s="298"/>
      <c r="K465" s="299"/>
      <c r="L465" s="304"/>
      <c r="M465" s="300"/>
      <c r="N465" s="301"/>
      <c r="P465" s="193" t="str">
        <f>IF(R465 = "", "", COUNT(R$4:$R465))</f>
        <v/>
      </c>
      <c r="Q465" s="193" t="str">
        <f t="shared" si="71"/>
        <v/>
      </c>
      <c r="R465" s="194" t="str">
        <f t="shared" si="72"/>
        <v/>
      </c>
      <c r="S465" s="195" t="str">
        <f t="shared" si="74"/>
        <v/>
      </c>
      <c r="T465" s="196" t="str">
        <f t="shared" si="75"/>
        <v/>
      </c>
      <c r="U465" s="197" t="str">
        <f t="shared" si="76"/>
        <v/>
      </c>
      <c r="V465" s="198" t="str">
        <f t="shared" si="73"/>
        <v/>
      </c>
      <c r="W465" s="339" t="str">
        <f t="shared" si="77"/>
        <v/>
      </c>
      <c r="X465" s="341" t="str">
        <f t="shared" si="78"/>
        <v/>
      </c>
      <c r="Y465" s="277"/>
      <c r="AR465" t="str">
        <f t="shared" si="79"/>
        <v/>
      </c>
      <c r="AS465" t="str">
        <f t="shared" si="80"/>
        <v/>
      </c>
    </row>
    <row r="466" spans="1:45">
      <c r="A466" s="294"/>
      <c r="B466" s="295"/>
      <c r="C466" s="296"/>
      <c r="D466" s="296"/>
      <c r="E466" s="296"/>
      <c r="F466" s="296"/>
      <c r="G466" s="297"/>
      <c r="H466" s="303"/>
      <c r="I466" s="298"/>
      <c r="J466" s="298"/>
      <c r="K466" s="299"/>
      <c r="L466" s="304"/>
      <c r="M466" s="300"/>
      <c r="N466" s="301"/>
      <c r="P466" s="193" t="str">
        <f>IF(R466 = "", "", COUNT(R$4:$R466))</f>
        <v/>
      </c>
      <c r="Q466" s="193" t="str">
        <f t="shared" si="71"/>
        <v/>
      </c>
      <c r="R466" s="194" t="str">
        <f t="shared" si="72"/>
        <v/>
      </c>
      <c r="S466" s="195" t="str">
        <f t="shared" si="74"/>
        <v/>
      </c>
      <c r="T466" s="196" t="str">
        <f t="shared" si="75"/>
        <v/>
      </c>
      <c r="U466" s="197" t="str">
        <f t="shared" si="76"/>
        <v/>
      </c>
      <c r="V466" s="198" t="str">
        <f t="shared" si="73"/>
        <v/>
      </c>
      <c r="W466" s="339" t="str">
        <f t="shared" si="77"/>
        <v/>
      </c>
      <c r="X466" s="341" t="str">
        <f t="shared" si="78"/>
        <v/>
      </c>
      <c r="Y466" s="277"/>
      <c r="AR466" t="str">
        <f t="shared" si="79"/>
        <v/>
      </c>
      <c r="AS466" t="str">
        <f t="shared" si="80"/>
        <v/>
      </c>
    </row>
    <row r="467" spans="1:45">
      <c r="A467" s="294"/>
      <c r="B467" s="295"/>
      <c r="C467" s="296"/>
      <c r="D467" s="296"/>
      <c r="E467" s="296"/>
      <c r="F467" s="296"/>
      <c r="G467" s="297"/>
      <c r="H467" s="303"/>
      <c r="I467" s="298"/>
      <c r="J467" s="298"/>
      <c r="K467" s="299"/>
      <c r="L467" s="304"/>
      <c r="M467" s="300"/>
      <c r="N467" s="301"/>
      <c r="P467" s="193" t="str">
        <f>IF(R467 = "", "", COUNT(R$4:$R467))</f>
        <v/>
      </c>
      <c r="Q467" s="193" t="str">
        <f t="shared" si="71"/>
        <v/>
      </c>
      <c r="R467" s="194" t="str">
        <f t="shared" si="72"/>
        <v/>
      </c>
      <c r="S467" s="195" t="str">
        <f t="shared" si="74"/>
        <v/>
      </c>
      <c r="T467" s="196" t="str">
        <f t="shared" si="75"/>
        <v/>
      </c>
      <c r="U467" s="197" t="str">
        <f t="shared" si="76"/>
        <v/>
      </c>
      <c r="V467" s="198" t="str">
        <f t="shared" si="73"/>
        <v/>
      </c>
      <c r="W467" s="339" t="str">
        <f t="shared" si="77"/>
        <v/>
      </c>
      <c r="X467" s="341" t="str">
        <f t="shared" si="78"/>
        <v/>
      </c>
      <c r="Y467" s="277"/>
      <c r="AR467" t="str">
        <f t="shared" si="79"/>
        <v/>
      </c>
      <c r="AS467" t="str">
        <f t="shared" si="80"/>
        <v/>
      </c>
    </row>
    <row r="468" spans="1:45">
      <c r="A468" s="294"/>
      <c r="B468" s="295"/>
      <c r="C468" s="296"/>
      <c r="D468" s="296"/>
      <c r="E468" s="296"/>
      <c r="F468" s="296"/>
      <c r="G468" s="297"/>
      <c r="H468" s="303"/>
      <c r="I468" s="298"/>
      <c r="J468" s="298"/>
      <c r="K468" s="299"/>
      <c r="L468" s="304"/>
      <c r="M468" s="300"/>
      <c r="N468" s="301"/>
      <c r="P468" s="193" t="str">
        <f>IF(R468 = "", "", COUNT(R$4:$R468))</f>
        <v/>
      </c>
      <c r="Q468" s="193" t="str">
        <f t="shared" si="71"/>
        <v/>
      </c>
      <c r="R468" s="194" t="str">
        <f t="shared" si="72"/>
        <v/>
      </c>
      <c r="S468" s="195" t="str">
        <f t="shared" si="74"/>
        <v/>
      </c>
      <c r="T468" s="196" t="str">
        <f t="shared" si="75"/>
        <v/>
      </c>
      <c r="U468" s="197" t="str">
        <f t="shared" si="76"/>
        <v/>
      </c>
      <c r="V468" s="198" t="str">
        <f t="shared" si="73"/>
        <v/>
      </c>
      <c r="W468" s="339" t="str">
        <f t="shared" si="77"/>
        <v/>
      </c>
      <c r="X468" s="341" t="str">
        <f t="shared" si="78"/>
        <v/>
      </c>
      <c r="Y468" s="277"/>
      <c r="AR468" t="str">
        <f t="shared" si="79"/>
        <v/>
      </c>
      <c r="AS468" t="str">
        <f t="shared" si="80"/>
        <v/>
      </c>
    </row>
    <row r="469" spans="1:45">
      <c r="A469" s="294"/>
      <c r="B469" s="295"/>
      <c r="C469" s="296"/>
      <c r="D469" s="296"/>
      <c r="E469" s="296"/>
      <c r="F469" s="296"/>
      <c r="G469" s="297"/>
      <c r="H469" s="303"/>
      <c r="I469" s="298"/>
      <c r="J469" s="298"/>
      <c r="K469" s="299"/>
      <c r="L469" s="304"/>
      <c r="M469" s="300"/>
      <c r="N469" s="301"/>
      <c r="P469" s="193" t="str">
        <f>IF(R469 = "", "", COUNT(R$4:$R469))</f>
        <v/>
      </c>
      <c r="Q469" s="193" t="str">
        <f t="shared" si="71"/>
        <v/>
      </c>
      <c r="R469" s="194" t="str">
        <f t="shared" si="72"/>
        <v/>
      </c>
      <c r="S469" s="195" t="str">
        <f t="shared" si="74"/>
        <v/>
      </c>
      <c r="T469" s="196" t="str">
        <f t="shared" si="75"/>
        <v/>
      </c>
      <c r="U469" s="197" t="str">
        <f t="shared" si="76"/>
        <v/>
      </c>
      <c r="V469" s="198" t="str">
        <f t="shared" si="73"/>
        <v/>
      </c>
      <c r="W469" s="339" t="str">
        <f t="shared" si="77"/>
        <v/>
      </c>
      <c r="X469" s="341" t="str">
        <f t="shared" si="78"/>
        <v/>
      </c>
      <c r="Y469" s="277"/>
      <c r="AR469" t="str">
        <f t="shared" si="79"/>
        <v/>
      </c>
      <c r="AS469" t="str">
        <f t="shared" si="80"/>
        <v/>
      </c>
    </row>
    <row r="470" spans="1:45">
      <c r="A470" s="294"/>
      <c r="B470" s="295"/>
      <c r="C470" s="296"/>
      <c r="D470" s="296"/>
      <c r="E470" s="296"/>
      <c r="F470" s="296"/>
      <c r="G470" s="297"/>
      <c r="H470" s="303"/>
      <c r="I470" s="298"/>
      <c r="J470" s="298"/>
      <c r="K470" s="299"/>
      <c r="L470" s="304"/>
      <c r="M470" s="300"/>
      <c r="N470" s="301"/>
      <c r="P470" s="193" t="str">
        <f>IF(R470 = "", "", COUNT(R$4:$R470))</f>
        <v/>
      </c>
      <c r="Q470" s="193" t="str">
        <f t="shared" si="71"/>
        <v/>
      </c>
      <c r="R470" s="194" t="str">
        <f t="shared" si="72"/>
        <v/>
      </c>
      <c r="S470" s="195" t="str">
        <f t="shared" si="74"/>
        <v/>
      </c>
      <c r="T470" s="196" t="str">
        <f t="shared" si="75"/>
        <v/>
      </c>
      <c r="U470" s="197" t="str">
        <f t="shared" si="76"/>
        <v/>
      </c>
      <c r="V470" s="198" t="str">
        <f t="shared" si="73"/>
        <v/>
      </c>
      <c r="W470" s="339" t="str">
        <f t="shared" si="77"/>
        <v/>
      </c>
      <c r="X470" s="341" t="str">
        <f t="shared" si="78"/>
        <v/>
      </c>
      <c r="Y470" s="277"/>
      <c r="AR470" t="str">
        <f t="shared" si="79"/>
        <v/>
      </c>
      <c r="AS470" t="str">
        <f t="shared" si="80"/>
        <v/>
      </c>
    </row>
    <row r="471" spans="1:45">
      <c r="A471" s="294"/>
      <c r="B471" s="295"/>
      <c r="C471" s="296"/>
      <c r="D471" s="296"/>
      <c r="E471" s="296"/>
      <c r="F471" s="296"/>
      <c r="G471" s="297"/>
      <c r="H471" s="303"/>
      <c r="I471" s="298"/>
      <c r="J471" s="298"/>
      <c r="K471" s="299"/>
      <c r="L471" s="304"/>
      <c r="M471" s="300"/>
      <c r="N471" s="301"/>
      <c r="P471" s="193" t="str">
        <f>IF(R471 = "", "", COUNT(R$4:$R471))</f>
        <v/>
      </c>
      <c r="Q471" s="193" t="str">
        <f t="shared" si="71"/>
        <v/>
      </c>
      <c r="R471" s="194" t="str">
        <f t="shared" si="72"/>
        <v/>
      </c>
      <c r="S471" s="195" t="str">
        <f t="shared" si="74"/>
        <v/>
      </c>
      <c r="T471" s="196" t="str">
        <f t="shared" si="75"/>
        <v/>
      </c>
      <c r="U471" s="197" t="str">
        <f t="shared" si="76"/>
        <v/>
      </c>
      <c r="V471" s="198" t="str">
        <f t="shared" si="73"/>
        <v/>
      </c>
      <c r="W471" s="339" t="str">
        <f t="shared" si="77"/>
        <v/>
      </c>
      <c r="X471" s="341" t="str">
        <f t="shared" si="78"/>
        <v/>
      </c>
      <c r="Y471" s="277"/>
      <c r="AR471" t="str">
        <f t="shared" si="79"/>
        <v/>
      </c>
      <c r="AS471" t="str">
        <f t="shared" si="80"/>
        <v/>
      </c>
    </row>
    <row r="472" spans="1:45">
      <c r="A472" s="294"/>
      <c r="B472" s="295"/>
      <c r="C472" s="296"/>
      <c r="D472" s="296"/>
      <c r="E472" s="296"/>
      <c r="F472" s="296"/>
      <c r="G472" s="297"/>
      <c r="H472" s="303"/>
      <c r="I472" s="298"/>
      <c r="J472" s="298"/>
      <c r="K472" s="299"/>
      <c r="L472" s="304"/>
      <c r="M472" s="300"/>
      <c r="N472" s="301"/>
      <c r="P472" s="193" t="str">
        <f>IF(R472 = "", "", COUNT(R$4:$R472))</f>
        <v/>
      </c>
      <c r="Q472" s="193" t="str">
        <f t="shared" si="71"/>
        <v/>
      </c>
      <c r="R472" s="194" t="str">
        <f t="shared" si="72"/>
        <v/>
      </c>
      <c r="S472" s="195" t="str">
        <f t="shared" si="74"/>
        <v/>
      </c>
      <c r="T472" s="196" t="str">
        <f t="shared" si="75"/>
        <v/>
      </c>
      <c r="U472" s="197" t="str">
        <f t="shared" si="76"/>
        <v/>
      </c>
      <c r="V472" s="198" t="str">
        <f t="shared" si="73"/>
        <v/>
      </c>
      <c r="W472" s="339" t="str">
        <f t="shared" si="77"/>
        <v/>
      </c>
      <c r="X472" s="341" t="str">
        <f t="shared" si="78"/>
        <v/>
      </c>
      <c r="Y472" s="277"/>
      <c r="AR472" t="str">
        <f t="shared" si="79"/>
        <v/>
      </c>
      <c r="AS472" t="str">
        <f t="shared" si="80"/>
        <v/>
      </c>
    </row>
    <row r="473" spans="1:45">
      <c r="A473" s="294"/>
      <c r="B473" s="295"/>
      <c r="C473" s="296"/>
      <c r="D473" s="296"/>
      <c r="E473" s="296"/>
      <c r="F473" s="296"/>
      <c r="G473" s="297"/>
      <c r="H473" s="303"/>
      <c r="I473" s="298"/>
      <c r="J473" s="298"/>
      <c r="K473" s="299"/>
      <c r="L473" s="304"/>
      <c r="M473" s="300"/>
      <c r="N473" s="301"/>
      <c r="P473" s="193" t="str">
        <f>IF(R473 = "", "", COUNT(R$4:$R473))</f>
        <v/>
      </c>
      <c r="Q473" s="193" t="str">
        <f t="shared" si="71"/>
        <v/>
      </c>
      <c r="R473" s="194" t="str">
        <f t="shared" si="72"/>
        <v/>
      </c>
      <c r="S473" s="195" t="str">
        <f t="shared" si="74"/>
        <v/>
      </c>
      <c r="T473" s="196" t="str">
        <f t="shared" si="75"/>
        <v/>
      </c>
      <c r="U473" s="197" t="str">
        <f t="shared" si="76"/>
        <v/>
      </c>
      <c r="V473" s="198" t="str">
        <f t="shared" si="73"/>
        <v/>
      </c>
      <c r="W473" s="339" t="str">
        <f t="shared" si="77"/>
        <v/>
      </c>
      <c r="X473" s="341" t="str">
        <f t="shared" si="78"/>
        <v/>
      </c>
      <c r="Y473" s="277"/>
      <c r="AR473" t="str">
        <f t="shared" si="79"/>
        <v/>
      </c>
      <c r="AS473" t="str">
        <f t="shared" si="80"/>
        <v/>
      </c>
    </row>
    <row r="474" spans="1:45">
      <c r="A474" s="294"/>
      <c r="B474" s="295"/>
      <c r="C474" s="296"/>
      <c r="D474" s="296"/>
      <c r="E474" s="296"/>
      <c r="F474" s="296"/>
      <c r="G474" s="297"/>
      <c r="H474" s="303"/>
      <c r="I474" s="298"/>
      <c r="J474" s="298"/>
      <c r="K474" s="299"/>
      <c r="L474" s="304"/>
      <c r="M474" s="300"/>
      <c r="N474" s="301"/>
      <c r="P474" s="193" t="str">
        <f>IF(R474 = "", "", COUNT(R$4:$R474))</f>
        <v/>
      </c>
      <c r="Q474" s="193" t="str">
        <f t="shared" si="71"/>
        <v/>
      </c>
      <c r="R474" s="194" t="str">
        <f t="shared" si="72"/>
        <v/>
      </c>
      <c r="S474" s="195" t="str">
        <f t="shared" si="74"/>
        <v/>
      </c>
      <c r="T474" s="196" t="str">
        <f t="shared" si="75"/>
        <v/>
      </c>
      <c r="U474" s="197" t="str">
        <f t="shared" si="76"/>
        <v/>
      </c>
      <c r="V474" s="198" t="str">
        <f t="shared" si="73"/>
        <v/>
      </c>
      <c r="W474" s="339" t="str">
        <f t="shared" si="77"/>
        <v/>
      </c>
      <c r="X474" s="341" t="str">
        <f t="shared" si="78"/>
        <v/>
      </c>
      <c r="Y474" s="277"/>
      <c r="AR474" t="str">
        <f t="shared" si="79"/>
        <v/>
      </c>
      <c r="AS474" t="str">
        <f t="shared" si="80"/>
        <v/>
      </c>
    </row>
    <row r="475" spans="1:45">
      <c r="A475" s="294"/>
      <c r="B475" s="295"/>
      <c r="C475" s="296"/>
      <c r="D475" s="296"/>
      <c r="E475" s="296"/>
      <c r="F475" s="296"/>
      <c r="G475" s="297"/>
      <c r="H475" s="303"/>
      <c r="I475" s="298"/>
      <c r="J475" s="298"/>
      <c r="K475" s="299"/>
      <c r="L475" s="304"/>
      <c r="M475" s="300"/>
      <c r="N475" s="301"/>
      <c r="P475" s="193" t="str">
        <f>IF(R475 = "", "", COUNT(R$4:$R475))</f>
        <v/>
      </c>
      <c r="Q475" s="193" t="str">
        <f t="shared" si="71"/>
        <v/>
      </c>
      <c r="R475" s="194" t="str">
        <f t="shared" si="72"/>
        <v/>
      </c>
      <c r="S475" s="195" t="str">
        <f t="shared" si="74"/>
        <v/>
      </c>
      <c r="T475" s="196" t="str">
        <f t="shared" si="75"/>
        <v/>
      </c>
      <c r="U475" s="197" t="str">
        <f t="shared" si="76"/>
        <v/>
      </c>
      <c r="V475" s="198" t="str">
        <f t="shared" si="73"/>
        <v/>
      </c>
      <c r="W475" s="339" t="str">
        <f t="shared" si="77"/>
        <v/>
      </c>
      <c r="X475" s="341" t="str">
        <f t="shared" si="78"/>
        <v/>
      </c>
      <c r="Y475" s="277"/>
      <c r="AR475" t="str">
        <f t="shared" si="79"/>
        <v/>
      </c>
      <c r="AS475" t="str">
        <f t="shared" si="80"/>
        <v/>
      </c>
    </row>
    <row r="476" spans="1:45">
      <c r="A476" s="294"/>
      <c r="B476" s="295"/>
      <c r="C476" s="296"/>
      <c r="D476" s="296"/>
      <c r="E476" s="296"/>
      <c r="F476" s="296"/>
      <c r="G476" s="297"/>
      <c r="H476" s="303"/>
      <c r="I476" s="298"/>
      <c r="J476" s="298"/>
      <c r="K476" s="299"/>
      <c r="L476" s="304"/>
      <c r="M476" s="300"/>
      <c r="N476" s="301"/>
      <c r="P476" s="193" t="str">
        <f>IF(R476 = "", "", COUNT(R$4:$R476))</f>
        <v/>
      </c>
      <c r="Q476" s="193" t="str">
        <f t="shared" si="71"/>
        <v/>
      </c>
      <c r="R476" s="194" t="str">
        <f t="shared" si="72"/>
        <v/>
      </c>
      <c r="S476" s="195" t="str">
        <f t="shared" si="74"/>
        <v/>
      </c>
      <c r="T476" s="196" t="str">
        <f t="shared" si="75"/>
        <v/>
      </c>
      <c r="U476" s="197" t="str">
        <f t="shared" si="76"/>
        <v/>
      </c>
      <c r="V476" s="198" t="str">
        <f t="shared" si="73"/>
        <v/>
      </c>
      <c r="W476" s="339" t="str">
        <f t="shared" si="77"/>
        <v/>
      </c>
      <c r="X476" s="341" t="str">
        <f t="shared" si="78"/>
        <v/>
      </c>
      <c r="Y476" s="277"/>
      <c r="AR476" t="str">
        <f t="shared" si="79"/>
        <v/>
      </c>
      <c r="AS476" t="str">
        <f t="shared" si="80"/>
        <v/>
      </c>
    </row>
    <row r="477" spans="1:45">
      <c r="A477" s="294"/>
      <c r="B477" s="295"/>
      <c r="C477" s="296"/>
      <c r="D477" s="296"/>
      <c r="E477" s="296"/>
      <c r="F477" s="296"/>
      <c r="G477" s="297"/>
      <c r="H477" s="303"/>
      <c r="I477" s="298"/>
      <c r="J477" s="298"/>
      <c r="K477" s="299"/>
      <c r="L477" s="304"/>
      <c r="M477" s="300"/>
      <c r="N477" s="301"/>
      <c r="P477" s="193" t="str">
        <f>IF(R477 = "", "", COUNT(R$4:$R477))</f>
        <v/>
      </c>
      <c r="Q477" s="193" t="str">
        <f t="shared" si="71"/>
        <v/>
      </c>
      <c r="R477" s="194" t="str">
        <f t="shared" si="72"/>
        <v/>
      </c>
      <c r="S477" s="195" t="str">
        <f t="shared" si="74"/>
        <v/>
      </c>
      <c r="T477" s="196" t="str">
        <f t="shared" si="75"/>
        <v/>
      </c>
      <c r="U477" s="197" t="str">
        <f t="shared" si="76"/>
        <v/>
      </c>
      <c r="V477" s="198" t="str">
        <f t="shared" si="73"/>
        <v/>
      </c>
      <c r="W477" s="339" t="str">
        <f t="shared" si="77"/>
        <v/>
      </c>
      <c r="X477" s="341" t="str">
        <f t="shared" si="78"/>
        <v/>
      </c>
      <c r="Y477" s="277"/>
      <c r="AR477" t="str">
        <f t="shared" si="79"/>
        <v/>
      </c>
      <c r="AS477" t="str">
        <f t="shared" si="80"/>
        <v/>
      </c>
    </row>
    <row r="478" spans="1:45">
      <c r="A478" s="294"/>
      <c r="B478" s="295"/>
      <c r="C478" s="296"/>
      <c r="D478" s="296"/>
      <c r="E478" s="296"/>
      <c r="F478" s="296"/>
      <c r="G478" s="297"/>
      <c r="H478" s="303"/>
      <c r="I478" s="298"/>
      <c r="J478" s="298"/>
      <c r="K478" s="299"/>
      <c r="L478" s="304"/>
      <c r="M478" s="300"/>
      <c r="N478" s="301"/>
      <c r="P478" s="193" t="str">
        <f>IF(R478 = "", "", COUNT(R$4:$R478))</f>
        <v/>
      </c>
      <c r="Q478" s="193" t="str">
        <f t="shared" si="71"/>
        <v/>
      </c>
      <c r="R478" s="194" t="str">
        <f t="shared" si="72"/>
        <v/>
      </c>
      <c r="S478" s="195" t="str">
        <f t="shared" si="74"/>
        <v/>
      </c>
      <c r="T478" s="196" t="str">
        <f t="shared" si="75"/>
        <v/>
      </c>
      <c r="U478" s="197" t="str">
        <f t="shared" si="76"/>
        <v/>
      </c>
      <c r="V478" s="198" t="str">
        <f t="shared" si="73"/>
        <v/>
      </c>
      <c r="W478" s="339" t="str">
        <f t="shared" si="77"/>
        <v/>
      </c>
      <c r="X478" s="341" t="str">
        <f t="shared" si="78"/>
        <v/>
      </c>
      <c r="Y478" s="277"/>
      <c r="AR478" t="str">
        <f t="shared" si="79"/>
        <v/>
      </c>
      <c r="AS478" t="str">
        <f t="shared" si="80"/>
        <v/>
      </c>
    </row>
    <row r="479" spans="1:45">
      <c r="A479" s="294"/>
      <c r="B479" s="295"/>
      <c r="C479" s="296"/>
      <c r="D479" s="296"/>
      <c r="E479" s="296"/>
      <c r="F479" s="296"/>
      <c r="G479" s="297"/>
      <c r="H479" s="303"/>
      <c r="I479" s="298"/>
      <c r="J479" s="298"/>
      <c r="K479" s="299"/>
      <c r="L479" s="304"/>
      <c r="M479" s="300"/>
      <c r="N479" s="301"/>
      <c r="P479" s="193" t="str">
        <f>IF(R479 = "", "", COUNT(R$4:$R479))</f>
        <v/>
      </c>
      <c r="Q479" s="193" t="str">
        <f t="shared" si="71"/>
        <v/>
      </c>
      <c r="R479" s="194" t="str">
        <f t="shared" si="72"/>
        <v/>
      </c>
      <c r="S479" s="195" t="str">
        <f t="shared" si="74"/>
        <v/>
      </c>
      <c r="T479" s="196" t="str">
        <f t="shared" si="75"/>
        <v/>
      </c>
      <c r="U479" s="197" t="str">
        <f t="shared" si="76"/>
        <v/>
      </c>
      <c r="V479" s="198" t="str">
        <f t="shared" si="73"/>
        <v/>
      </c>
      <c r="W479" s="339" t="str">
        <f t="shared" si="77"/>
        <v/>
      </c>
      <c r="X479" s="341" t="str">
        <f t="shared" si="78"/>
        <v/>
      </c>
      <c r="Y479" s="277"/>
      <c r="AR479" t="str">
        <f t="shared" si="79"/>
        <v/>
      </c>
      <c r="AS479" t="str">
        <f t="shared" si="80"/>
        <v/>
      </c>
    </row>
    <row r="480" spans="1:45">
      <c r="A480" s="294"/>
      <c r="B480" s="295"/>
      <c r="C480" s="296"/>
      <c r="D480" s="296"/>
      <c r="E480" s="296"/>
      <c r="F480" s="296"/>
      <c r="G480" s="297"/>
      <c r="H480" s="303"/>
      <c r="I480" s="298"/>
      <c r="J480" s="298"/>
      <c r="K480" s="299"/>
      <c r="L480" s="304"/>
      <c r="M480" s="300"/>
      <c r="N480" s="301"/>
      <c r="P480" s="193" t="str">
        <f>IF(R480 = "", "", COUNT(R$4:$R480))</f>
        <v/>
      </c>
      <c r="Q480" s="193" t="str">
        <f t="shared" si="71"/>
        <v/>
      </c>
      <c r="R480" s="194" t="str">
        <f t="shared" si="72"/>
        <v/>
      </c>
      <c r="S480" s="195" t="str">
        <f t="shared" si="74"/>
        <v/>
      </c>
      <c r="T480" s="196" t="str">
        <f t="shared" si="75"/>
        <v/>
      </c>
      <c r="U480" s="197" t="str">
        <f t="shared" si="76"/>
        <v/>
      </c>
      <c r="V480" s="198" t="str">
        <f t="shared" si="73"/>
        <v/>
      </c>
      <c r="W480" s="339" t="str">
        <f t="shared" si="77"/>
        <v/>
      </c>
      <c r="X480" s="341" t="str">
        <f t="shared" si="78"/>
        <v/>
      </c>
      <c r="Y480" s="277"/>
      <c r="AR480" t="str">
        <f t="shared" si="79"/>
        <v/>
      </c>
      <c r="AS480" t="str">
        <f t="shared" si="80"/>
        <v/>
      </c>
    </row>
    <row r="481" spans="1:45">
      <c r="A481" s="294"/>
      <c r="B481" s="295"/>
      <c r="C481" s="296"/>
      <c r="D481" s="296"/>
      <c r="E481" s="296"/>
      <c r="F481" s="296"/>
      <c r="G481" s="297"/>
      <c r="H481" s="303"/>
      <c r="I481" s="298"/>
      <c r="J481" s="298"/>
      <c r="K481" s="299"/>
      <c r="L481" s="304"/>
      <c r="M481" s="300"/>
      <c r="N481" s="301"/>
      <c r="P481" s="193" t="str">
        <f>IF(R481 = "", "", COUNT(R$4:$R481))</f>
        <v/>
      </c>
      <c r="Q481" s="193" t="str">
        <f t="shared" si="71"/>
        <v/>
      </c>
      <c r="R481" s="194" t="str">
        <f t="shared" si="72"/>
        <v/>
      </c>
      <c r="S481" s="195" t="str">
        <f t="shared" si="74"/>
        <v/>
      </c>
      <c r="T481" s="196" t="str">
        <f t="shared" si="75"/>
        <v/>
      </c>
      <c r="U481" s="197" t="str">
        <f t="shared" si="76"/>
        <v/>
      </c>
      <c r="V481" s="198" t="str">
        <f t="shared" si="73"/>
        <v/>
      </c>
      <c r="W481" s="339" t="str">
        <f t="shared" si="77"/>
        <v/>
      </c>
      <c r="X481" s="341" t="str">
        <f t="shared" si="78"/>
        <v/>
      </c>
      <c r="Y481" s="277"/>
      <c r="AR481" t="str">
        <f t="shared" si="79"/>
        <v/>
      </c>
      <c r="AS481" t="str">
        <f t="shared" si="80"/>
        <v/>
      </c>
    </row>
    <row r="482" spans="1:45">
      <c r="A482" s="294"/>
      <c r="B482" s="295"/>
      <c r="C482" s="296"/>
      <c r="D482" s="296"/>
      <c r="E482" s="296"/>
      <c r="F482" s="296"/>
      <c r="G482" s="297"/>
      <c r="H482" s="303"/>
      <c r="I482" s="298"/>
      <c r="J482" s="298"/>
      <c r="K482" s="299"/>
      <c r="L482" s="304"/>
      <c r="M482" s="300"/>
      <c r="N482" s="301"/>
      <c r="P482" s="193" t="str">
        <f>IF(R482 = "", "", COUNT(R$4:$R482))</f>
        <v/>
      </c>
      <c r="Q482" s="193" t="str">
        <f t="shared" si="71"/>
        <v/>
      </c>
      <c r="R482" s="194" t="str">
        <f t="shared" si="72"/>
        <v/>
      </c>
      <c r="S482" s="195" t="str">
        <f t="shared" si="74"/>
        <v/>
      </c>
      <c r="T482" s="196" t="str">
        <f t="shared" si="75"/>
        <v/>
      </c>
      <c r="U482" s="197" t="str">
        <f t="shared" si="76"/>
        <v/>
      </c>
      <c r="V482" s="198" t="str">
        <f t="shared" si="73"/>
        <v/>
      </c>
      <c r="W482" s="339" t="str">
        <f t="shared" si="77"/>
        <v/>
      </c>
      <c r="X482" s="341" t="str">
        <f t="shared" si="78"/>
        <v/>
      </c>
      <c r="Y482" s="277"/>
      <c r="AR482" t="str">
        <f t="shared" si="79"/>
        <v/>
      </c>
      <c r="AS482" t="str">
        <f t="shared" si="80"/>
        <v/>
      </c>
    </row>
    <row r="483" spans="1:45">
      <c r="A483" s="294"/>
      <c r="B483" s="295"/>
      <c r="C483" s="296"/>
      <c r="D483" s="296"/>
      <c r="E483" s="296"/>
      <c r="F483" s="296"/>
      <c r="G483" s="297"/>
      <c r="H483" s="303"/>
      <c r="I483" s="298"/>
      <c r="J483" s="298"/>
      <c r="K483" s="299"/>
      <c r="L483" s="304"/>
      <c r="M483" s="300"/>
      <c r="N483" s="301"/>
      <c r="P483" s="193" t="str">
        <f>IF(R483 = "", "", COUNT(R$4:$R483))</f>
        <v/>
      </c>
      <c r="Q483" s="193" t="str">
        <f t="shared" si="71"/>
        <v/>
      </c>
      <c r="R483" s="194" t="str">
        <f t="shared" si="72"/>
        <v/>
      </c>
      <c r="S483" s="195" t="str">
        <f t="shared" si="74"/>
        <v/>
      </c>
      <c r="T483" s="196" t="str">
        <f t="shared" si="75"/>
        <v/>
      </c>
      <c r="U483" s="197" t="str">
        <f t="shared" si="76"/>
        <v/>
      </c>
      <c r="V483" s="198" t="str">
        <f t="shared" si="73"/>
        <v/>
      </c>
      <c r="W483" s="339" t="str">
        <f t="shared" si="77"/>
        <v/>
      </c>
      <c r="X483" s="341" t="str">
        <f t="shared" si="78"/>
        <v/>
      </c>
      <c r="Y483" s="277"/>
      <c r="AR483" t="str">
        <f t="shared" si="79"/>
        <v/>
      </c>
      <c r="AS483" t="str">
        <f t="shared" si="80"/>
        <v/>
      </c>
    </row>
    <row r="484" spans="1:45">
      <c r="A484" s="294"/>
      <c r="B484" s="295"/>
      <c r="C484" s="296"/>
      <c r="D484" s="296"/>
      <c r="E484" s="296"/>
      <c r="F484" s="296"/>
      <c r="G484" s="297"/>
      <c r="H484" s="303"/>
      <c r="I484" s="298"/>
      <c r="J484" s="298"/>
      <c r="K484" s="299"/>
      <c r="L484" s="304"/>
      <c r="M484" s="300"/>
      <c r="N484" s="301"/>
      <c r="P484" s="193" t="str">
        <f>IF(R484 = "", "", COUNT(R$4:$R484))</f>
        <v/>
      </c>
      <c r="Q484" s="193" t="str">
        <f t="shared" si="71"/>
        <v/>
      </c>
      <c r="R484" s="194" t="str">
        <f t="shared" si="72"/>
        <v/>
      </c>
      <c r="S484" s="195" t="str">
        <f t="shared" si="74"/>
        <v/>
      </c>
      <c r="T484" s="196" t="str">
        <f t="shared" si="75"/>
        <v/>
      </c>
      <c r="U484" s="197" t="str">
        <f t="shared" si="76"/>
        <v/>
      </c>
      <c r="V484" s="198" t="str">
        <f t="shared" si="73"/>
        <v/>
      </c>
      <c r="W484" s="339" t="str">
        <f t="shared" si="77"/>
        <v/>
      </c>
      <c r="X484" s="341" t="str">
        <f t="shared" si="78"/>
        <v/>
      </c>
      <c r="Y484" s="277"/>
      <c r="AR484" t="str">
        <f t="shared" si="79"/>
        <v/>
      </c>
      <c r="AS484" t="str">
        <f t="shared" si="80"/>
        <v/>
      </c>
    </row>
    <row r="485" spans="1:45">
      <c r="A485" s="294"/>
      <c r="B485" s="295"/>
      <c r="C485" s="296"/>
      <c r="D485" s="296"/>
      <c r="E485" s="296"/>
      <c r="F485" s="296"/>
      <c r="G485" s="297"/>
      <c r="H485" s="303"/>
      <c r="I485" s="298"/>
      <c r="J485" s="298"/>
      <c r="K485" s="299"/>
      <c r="L485" s="304"/>
      <c r="M485" s="300"/>
      <c r="N485" s="301"/>
      <c r="P485" s="193" t="str">
        <f>IF(R485 = "", "", COUNT(R$4:$R485))</f>
        <v/>
      </c>
      <c r="Q485" s="193" t="str">
        <f t="shared" si="71"/>
        <v/>
      </c>
      <c r="R485" s="194" t="str">
        <f t="shared" si="72"/>
        <v/>
      </c>
      <c r="S485" s="195" t="str">
        <f t="shared" si="74"/>
        <v/>
      </c>
      <c r="T485" s="196" t="str">
        <f t="shared" si="75"/>
        <v/>
      </c>
      <c r="U485" s="197" t="str">
        <f t="shared" si="76"/>
        <v/>
      </c>
      <c r="V485" s="198" t="str">
        <f t="shared" si="73"/>
        <v/>
      </c>
      <c r="W485" s="339" t="str">
        <f t="shared" si="77"/>
        <v/>
      </c>
      <c r="X485" s="341" t="str">
        <f t="shared" si="78"/>
        <v/>
      </c>
      <c r="Y485" s="277"/>
      <c r="AR485" t="str">
        <f t="shared" si="79"/>
        <v/>
      </c>
      <c r="AS485" t="str">
        <f t="shared" si="80"/>
        <v/>
      </c>
    </row>
    <row r="486" spans="1:45">
      <c r="A486" s="294"/>
      <c r="B486" s="295"/>
      <c r="C486" s="296"/>
      <c r="D486" s="296"/>
      <c r="E486" s="296"/>
      <c r="F486" s="296"/>
      <c r="G486" s="297"/>
      <c r="H486" s="303"/>
      <c r="I486" s="298"/>
      <c r="J486" s="298"/>
      <c r="K486" s="299"/>
      <c r="L486" s="304"/>
      <c r="M486" s="300"/>
      <c r="N486" s="301"/>
      <c r="P486" s="193" t="str">
        <f>IF(R486 = "", "", COUNT(R$4:$R486))</f>
        <v/>
      </c>
      <c r="Q486" s="193" t="str">
        <f t="shared" si="71"/>
        <v/>
      </c>
      <c r="R486" s="194" t="str">
        <f t="shared" si="72"/>
        <v/>
      </c>
      <c r="S486" s="195" t="str">
        <f t="shared" si="74"/>
        <v/>
      </c>
      <c r="T486" s="196" t="str">
        <f t="shared" si="75"/>
        <v/>
      </c>
      <c r="U486" s="197" t="str">
        <f t="shared" si="76"/>
        <v/>
      </c>
      <c r="V486" s="198" t="str">
        <f t="shared" si="73"/>
        <v/>
      </c>
      <c r="W486" s="339" t="str">
        <f t="shared" si="77"/>
        <v/>
      </c>
      <c r="X486" s="341" t="str">
        <f t="shared" si="78"/>
        <v/>
      </c>
      <c r="Y486" s="277"/>
      <c r="AR486" t="str">
        <f t="shared" si="79"/>
        <v/>
      </c>
      <c r="AS486" t="str">
        <f t="shared" si="80"/>
        <v/>
      </c>
    </row>
    <row r="487" spans="1:45">
      <c r="A487" s="294"/>
      <c r="B487" s="295"/>
      <c r="C487" s="296"/>
      <c r="D487" s="296"/>
      <c r="E487" s="296"/>
      <c r="F487" s="296"/>
      <c r="G487" s="297"/>
      <c r="H487" s="303"/>
      <c r="I487" s="298"/>
      <c r="J487" s="298"/>
      <c r="K487" s="299"/>
      <c r="L487" s="304"/>
      <c r="M487" s="300"/>
      <c r="N487" s="301"/>
      <c r="P487" s="193" t="str">
        <f>IF(R487 = "", "", COUNT(R$4:$R487))</f>
        <v/>
      </c>
      <c r="Q487" s="193" t="str">
        <f t="shared" si="71"/>
        <v/>
      </c>
      <c r="R487" s="194" t="str">
        <f t="shared" si="72"/>
        <v/>
      </c>
      <c r="S487" s="195" t="str">
        <f t="shared" si="74"/>
        <v/>
      </c>
      <c r="T487" s="196" t="str">
        <f t="shared" si="75"/>
        <v/>
      </c>
      <c r="U487" s="197" t="str">
        <f t="shared" si="76"/>
        <v/>
      </c>
      <c r="V487" s="198" t="str">
        <f t="shared" si="73"/>
        <v/>
      </c>
      <c r="W487" s="339" t="str">
        <f t="shared" si="77"/>
        <v/>
      </c>
      <c r="X487" s="341" t="str">
        <f t="shared" si="78"/>
        <v/>
      </c>
      <c r="Y487" s="277"/>
      <c r="AR487" t="str">
        <f t="shared" si="79"/>
        <v/>
      </c>
      <c r="AS487" t="str">
        <f t="shared" si="80"/>
        <v/>
      </c>
    </row>
    <row r="488" spans="1:45">
      <c r="A488" s="294"/>
      <c r="B488" s="295"/>
      <c r="C488" s="296"/>
      <c r="D488" s="296"/>
      <c r="E488" s="296"/>
      <c r="F488" s="296"/>
      <c r="G488" s="297"/>
      <c r="H488" s="303"/>
      <c r="I488" s="298"/>
      <c r="J488" s="298"/>
      <c r="K488" s="299"/>
      <c r="L488" s="304"/>
      <c r="M488" s="300"/>
      <c r="N488" s="301"/>
      <c r="P488" s="193" t="str">
        <f>IF(R488 = "", "", COUNT(R$4:$R488))</f>
        <v/>
      </c>
      <c r="Q488" s="193" t="str">
        <f t="shared" si="71"/>
        <v/>
      </c>
      <c r="R488" s="194" t="str">
        <f t="shared" si="72"/>
        <v/>
      </c>
      <c r="S488" s="195" t="str">
        <f t="shared" si="74"/>
        <v/>
      </c>
      <c r="T488" s="196" t="str">
        <f t="shared" si="75"/>
        <v/>
      </c>
      <c r="U488" s="197" t="str">
        <f t="shared" si="76"/>
        <v/>
      </c>
      <c r="V488" s="198" t="str">
        <f t="shared" si="73"/>
        <v/>
      </c>
      <c r="W488" s="339" t="str">
        <f t="shared" si="77"/>
        <v/>
      </c>
      <c r="X488" s="341" t="str">
        <f t="shared" si="78"/>
        <v/>
      </c>
      <c r="Y488" s="277"/>
      <c r="AR488" t="str">
        <f t="shared" si="79"/>
        <v/>
      </c>
      <c r="AS488" t="str">
        <f t="shared" si="80"/>
        <v/>
      </c>
    </row>
    <row r="489" spans="1:45">
      <c r="A489" s="294"/>
      <c r="B489" s="295"/>
      <c r="C489" s="296"/>
      <c r="D489" s="296"/>
      <c r="E489" s="296"/>
      <c r="F489" s="296"/>
      <c r="G489" s="297"/>
      <c r="H489" s="303"/>
      <c r="I489" s="298"/>
      <c r="J489" s="298"/>
      <c r="K489" s="299"/>
      <c r="L489" s="304"/>
      <c r="M489" s="300"/>
      <c r="N489" s="301"/>
      <c r="P489" s="193" t="str">
        <f>IF(R489 = "", "", COUNT(R$4:$R489))</f>
        <v/>
      </c>
      <c r="Q489" s="193" t="str">
        <f t="shared" si="71"/>
        <v/>
      </c>
      <c r="R489" s="194" t="str">
        <f t="shared" si="72"/>
        <v/>
      </c>
      <c r="S489" s="195" t="str">
        <f t="shared" si="74"/>
        <v/>
      </c>
      <c r="T489" s="196" t="str">
        <f t="shared" si="75"/>
        <v/>
      </c>
      <c r="U489" s="197" t="str">
        <f t="shared" si="76"/>
        <v/>
      </c>
      <c r="V489" s="198" t="str">
        <f t="shared" si="73"/>
        <v/>
      </c>
      <c r="W489" s="339" t="str">
        <f t="shared" si="77"/>
        <v/>
      </c>
      <c r="X489" s="341" t="str">
        <f t="shared" si="78"/>
        <v/>
      </c>
      <c r="Y489" s="277"/>
      <c r="AR489" t="str">
        <f t="shared" si="79"/>
        <v/>
      </c>
      <c r="AS489" t="str">
        <f t="shared" si="80"/>
        <v/>
      </c>
    </row>
    <row r="490" spans="1:45">
      <c r="A490" s="294"/>
      <c r="B490" s="295"/>
      <c r="C490" s="296"/>
      <c r="D490" s="296"/>
      <c r="E490" s="296"/>
      <c r="F490" s="296"/>
      <c r="G490" s="297"/>
      <c r="H490" s="303"/>
      <c r="I490" s="298"/>
      <c r="J490" s="298"/>
      <c r="K490" s="299"/>
      <c r="L490" s="304"/>
      <c r="M490" s="300"/>
      <c r="N490" s="301"/>
      <c r="P490" s="193" t="str">
        <f>IF(R490 = "", "", COUNT(R$4:$R490))</f>
        <v/>
      </c>
      <c r="Q490" s="193" t="str">
        <f t="shared" si="71"/>
        <v/>
      </c>
      <c r="R490" s="194" t="str">
        <f t="shared" si="72"/>
        <v/>
      </c>
      <c r="S490" s="195" t="str">
        <f t="shared" si="74"/>
        <v/>
      </c>
      <c r="T490" s="196" t="str">
        <f t="shared" si="75"/>
        <v/>
      </c>
      <c r="U490" s="197" t="str">
        <f t="shared" si="76"/>
        <v/>
      </c>
      <c r="V490" s="198" t="str">
        <f t="shared" si="73"/>
        <v/>
      </c>
      <c r="W490" s="339" t="str">
        <f t="shared" si="77"/>
        <v/>
      </c>
      <c r="X490" s="341" t="str">
        <f t="shared" si="78"/>
        <v/>
      </c>
      <c r="Y490" s="277"/>
      <c r="AR490" t="str">
        <f t="shared" si="79"/>
        <v/>
      </c>
      <c r="AS490" t="str">
        <f t="shared" si="80"/>
        <v/>
      </c>
    </row>
    <row r="491" spans="1:45">
      <c r="A491" s="294"/>
      <c r="B491" s="295"/>
      <c r="C491" s="296"/>
      <c r="D491" s="296"/>
      <c r="E491" s="296"/>
      <c r="F491" s="296"/>
      <c r="G491" s="297"/>
      <c r="H491" s="303"/>
      <c r="I491" s="298"/>
      <c r="J491" s="298"/>
      <c r="K491" s="299"/>
      <c r="L491" s="304"/>
      <c r="M491" s="300"/>
      <c r="N491" s="301"/>
      <c r="P491" s="193" t="str">
        <f>IF(R491 = "", "", COUNT(R$4:$R491))</f>
        <v/>
      </c>
      <c r="Q491" s="193" t="str">
        <f t="shared" si="71"/>
        <v/>
      </c>
      <c r="R491" s="194" t="str">
        <f t="shared" si="72"/>
        <v/>
      </c>
      <c r="S491" s="195" t="str">
        <f t="shared" si="74"/>
        <v/>
      </c>
      <c r="T491" s="196" t="str">
        <f t="shared" si="75"/>
        <v/>
      </c>
      <c r="U491" s="197" t="str">
        <f t="shared" si="76"/>
        <v/>
      </c>
      <c r="V491" s="198" t="str">
        <f t="shared" si="73"/>
        <v/>
      </c>
      <c r="W491" s="339" t="str">
        <f t="shared" si="77"/>
        <v/>
      </c>
      <c r="X491" s="341" t="str">
        <f t="shared" si="78"/>
        <v/>
      </c>
      <c r="Y491" s="277"/>
      <c r="AR491" t="str">
        <f t="shared" si="79"/>
        <v/>
      </c>
      <c r="AS491" t="str">
        <f t="shared" si="80"/>
        <v/>
      </c>
    </row>
    <row r="492" spans="1:45">
      <c r="A492" s="294"/>
      <c r="B492" s="295"/>
      <c r="C492" s="296"/>
      <c r="D492" s="296"/>
      <c r="E492" s="296"/>
      <c r="F492" s="296"/>
      <c r="G492" s="297"/>
      <c r="H492" s="303"/>
      <c r="I492" s="298"/>
      <c r="J492" s="298"/>
      <c r="K492" s="299"/>
      <c r="L492" s="304"/>
      <c r="M492" s="300"/>
      <c r="N492" s="301"/>
      <c r="P492" s="193" t="str">
        <f>IF(R492 = "", "", COUNT(R$4:$R492))</f>
        <v/>
      </c>
      <c r="Q492" s="193" t="str">
        <f t="shared" si="71"/>
        <v/>
      </c>
      <c r="R492" s="194" t="str">
        <f t="shared" si="72"/>
        <v/>
      </c>
      <c r="S492" s="195" t="str">
        <f t="shared" si="74"/>
        <v/>
      </c>
      <c r="T492" s="196" t="str">
        <f t="shared" si="75"/>
        <v/>
      </c>
      <c r="U492" s="197" t="str">
        <f t="shared" si="76"/>
        <v/>
      </c>
      <c r="V492" s="198" t="str">
        <f t="shared" si="73"/>
        <v/>
      </c>
      <c r="W492" s="339" t="str">
        <f t="shared" si="77"/>
        <v/>
      </c>
      <c r="X492" s="341" t="str">
        <f t="shared" si="78"/>
        <v/>
      </c>
      <c r="Y492" s="277"/>
      <c r="AR492" t="str">
        <f t="shared" si="79"/>
        <v/>
      </c>
      <c r="AS492" t="str">
        <f t="shared" si="80"/>
        <v/>
      </c>
    </row>
    <row r="493" spans="1:45">
      <c r="A493" s="294"/>
      <c r="B493" s="295"/>
      <c r="C493" s="296"/>
      <c r="D493" s="296"/>
      <c r="E493" s="296"/>
      <c r="F493" s="296"/>
      <c r="G493" s="297"/>
      <c r="H493" s="303"/>
      <c r="I493" s="298"/>
      <c r="J493" s="298"/>
      <c r="K493" s="299"/>
      <c r="L493" s="304"/>
      <c r="M493" s="300"/>
      <c r="N493" s="301"/>
      <c r="P493" s="193" t="str">
        <f>IF(R493 = "", "", COUNT(R$4:$R493))</f>
        <v/>
      </c>
      <c r="Q493" s="193" t="str">
        <f t="shared" si="71"/>
        <v/>
      </c>
      <c r="R493" s="194" t="str">
        <f t="shared" si="72"/>
        <v/>
      </c>
      <c r="S493" s="195" t="str">
        <f t="shared" si="74"/>
        <v/>
      </c>
      <c r="T493" s="196" t="str">
        <f t="shared" si="75"/>
        <v/>
      </c>
      <c r="U493" s="197" t="str">
        <f t="shared" si="76"/>
        <v/>
      </c>
      <c r="V493" s="198" t="str">
        <f t="shared" si="73"/>
        <v/>
      </c>
      <c r="W493" s="339" t="str">
        <f t="shared" si="77"/>
        <v/>
      </c>
      <c r="X493" s="341" t="str">
        <f t="shared" si="78"/>
        <v/>
      </c>
      <c r="Y493" s="277"/>
      <c r="AR493" t="str">
        <f t="shared" si="79"/>
        <v/>
      </c>
      <c r="AS493" t="str">
        <f t="shared" si="80"/>
        <v/>
      </c>
    </row>
    <row r="494" spans="1:45">
      <c r="A494" s="294"/>
      <c r="B494" s="295"/>
      <c r="C494" s="296"/>
      <c r="D494" s="296"/>
      <c r="E494" s="296"/>
      <c r="F494" s="296"/>
      <c r="G494" s="297"/>
      <c r="H494" s="303"/>
      <c r="I494" s="298"/>
      <c r="J494" s="298"/>
      <c r="K494" s="299"/>
      <c r="L494" s="304"/>
      <c r="M494" s="300"/>
      <c r="N494" s="301"/>
      <c r="P494" s="193" t="str">
        <f>IF(R494 = "", "", COUNT(R$4:$R494))</f>
        <v/>
      </c>
      <c r="Q494" s="193" t="str">
        <f t="shared" si="71"/>
        <v/>
      </c>
      <c r="R494" s="194" t="str">
        <f t="shared" si="72"/>
        <v/>
      </c>
      <c r="S494" s="195" t="str">
        <f t="shared" si="74"/>
        <v/>
      </c>
      <c r="T494" s="196" t="str">
        <f t="shared" si="75"/>
        <v/>
      </c>
      <c r="U494" s="197" t="str">
        <f t="shared" si="76"/>
        <v/>
      </c>
      <c r="V494" s="198" t="str">
        <f t="shared" si="73"/>
        <v/>
      </c>
      <c r="W494" s="339" t="str">
        <f t="shared" si="77"/>
        <v/>
      </c>
      <c r="X494" s="341" t="str">
        <f t="shared" si="78"/>
        <v/>
      </c>
      <c r="Y494" s="277"/>
      <c r="AR494" t="str">
        <f t="shared" si="79"/>
        <v/>
      </c>
      <c r="AS494" t="str">
        <f t="shared" si="80"/>
        <v/>
      </c>
    </row>
    <row r="495" spans="1:45">
      <c r="A495" s="294"/>
      <c r="B495" s="295"/>
      <c r="C495" s="296"/>
      <c r="D495" s="296"/>
      <c r="E495" s="296"/>
      <c r="F495" s="296"/>
      <c r="G495" s="297"/>
      <c r="H495" s="303"/>
      <c r="I495" s="298"/>
      <c r="J495" s="298"/>
      <c r="K495" s="299"/>
      <c r="L495" s="304"/>
      <c r="M495" s="300"/>
      <c r="N495" s="301"/>
      <c r="P495" s="193" t="str">
        <f>IF(R495 = "", "", COUNT(R$4:$R495))</f>
        <v/>
      </c>
      <c r="Q495" s="193" t="str">
        <f t="shared" si="71"/>
        <v/>
      </c>
      <c r="R495" s="194" t="str">
        <f t="shared" si="72"/>
        <v/>
      </c>
      <c r="S495" s="195" t="str">
        <f t="shared" si="74"/>
        <v/>
      </c>
      <c r="T495" s="196" t="str">
        <f t="shared" si="75"/>
        <v/>
      </c>
      <c r="U495" s="197" t="str">
        <f t="shared" si="76"/>
        <v/>
      </c>
      <c r="V495" s="198" t="str">
        <f t="shared" si="73"/>
        <v/>
      </c>
      <c r="W495" s="339" t="str">
        <f t="shared" si="77"/>
        <v/>
      </c>
      <c r="X495" s="341" t="str">
        <f t="shared" si="78"/>
        <v/>
      </c>
      <c r="Y495" s="277"/>
      <c r="AR495" t="str">
        <f t="shared" si="79"/>
        <v/>
      </c>
      <c r="AS495" t="str">
        <f t="shared" si="80"/>
        <v/>
      </c>
    </row>
    <row r="496" spans="1:45">
      <c r="A496" s="294"/>
      <c r="B496" s="295"/>
      <c r="C496" s="296"/>
      <c r="D496" s="296"/>
      <c r="E496" s="296"/>
      <c r="F496" s="296"/>
      <c r="G496" s="297"/>
      <c r="H496" s="303"/>
      <c r="I496" s="298"/>
      <c r="J496" s="298"/>
      <c r="K496" s="299"/>
      <c r="L496" s="304"/>
      <c r="M496" s="300"/>
      <c r="N496" s="301"/>
      <c r="P496" s="193" t="str">
        <f>IF(R496 = "", "", COUNT(R$4:$R496))</f>
        <v/>
      </c>
      <c r="Q496" s="193" t="str">
        <f t="shared" si="71"/>
        <v/>
      </c>
      <c r="R496" s="194" t="str">
        <f t="shared" si="72"/>
        <v/>
      </c>
      <c r="S496" s="195" t="str">
        <f t="shared" si="74"/>
        <v/>
      </c>
      <c r="T496" s="196" t="str">
        <f t="shared" si="75"/>
        <v/>
      </c>
      <c r="U496" s="197" t="str">
        <f t="shared" si="76"/>
        <v/>
      </c>
      <c r="V496" s="198" t="str">
        <f t="shared" si="73"/>
        <v/>
      </c>
      <c r="W496" s="339" t="str">
        <f t="shared" si="77"/>
        <v/>
      </c>
      <c r="X496" s="341" t="str">
        <f t="shared" si="78"/>
        <v/>
      </c>
      <c r="Y496" s="277"/>
      <c r="AR496" t="str">
        <f t="shared" si="79"/>
        <v/>
      </c>
      <c r="AS496" t="str">
        <f t="shared" si="80"/>
        <v/>
      </c>
    </row>
    <row r="497" spans="1:45">
      <c r="A497" s="294"/>
      <c r="B497" s="295"/>
      <c r="C497" s="296"/>
      <c r="D497" s="296"/>
      <c r="E497" s="296"/>
      <c r="F497" s="296"/>
      <c r="G497" s="297"/>
      <c r="H497" s="303"/>
      <c r="I497" s="298"/>
      <c r="J497" s="298"/>
      <c r="K497" s="299"/>
      <c r="L497" s="304"/>
      <c r="M497" s="300"/>
      <c r="N497" s="301"/>
      <c r="P497" s="193" t="str">
        <f>IF(R497 = "", "", COUNT(R$4:$R497))</f>
        <v/>
      </c>
      <c r="Q497" s="193" t="str">
        <f t="shared" si="71"/>
        <v/>
      </c>
      <c r="R497" s="194" t="str">
        <f t="shared" si="72"/>
        <v/>
      </c>
      <c r="S497" s="195" t="str">
        <f t="shared" si="74"/>
        <v/>
      </c>
      <c r="T497" s="196" t="str">
        <f t="shared" si="75"/>
        <v/>
      </c>
      <c r="U497" s="197" t="str">
        <f t="shared" si="76"/>
        <v/>
      </c>
      <c r="V497" s="198" t="str">
        <f t="shared" si="73"/>
        <v/>
      </c>
      <c r="W497" s="339" t="str">
        <f t="shared" si="77"/>
        <v/>
      </c>
      <c r="X497" s="341" t="str">
        <f t="shared" si="78"/>
        <v/>
      </c>
      <c r="Y497" s="277"/>
      <c r="AR497" t="str">
        <f t="shared" si="79"/>
        <v/>
      </c>
      <c r="AS497" t="str">
        <f t="shared" si="80"/>
        <v/>
      </c>
    </row>
    <row r="498" spans="1:45">
      <c r="A498" s="294"/>
      <c r="B498" s="295"/>
      <c r="C498" s="296"/>
      <c r="D498" s="296"/>
      <c r="E498" s="296"/>
      <c r="F498" s="296"/>
      <c r="G498" s="297"/>
      <c r="H498" s="303"/>
      <c r="I498" s="298"/>
      <c r="J498" s="298"/>
      <c r="K498" s="299"/>
      <c r="L498" s="304"/>
      <c r="M498" s="300"/>
      <c r="N498" s="301"/>
      <c r="P498" s="193" t="str">
        <f>IF(R498 = "", "", COUNT(R$4:$R498))</f>
        <v/>
      </c>
      <c r="Q498" s="193" t="str">
        <f t="shared" si="71"/>
        <v/>
      </c>
      <c r="R498" s="194" t="str">
        <f t="shared" si="72"/>
        <v/>
      </c>
      <c r="S498" s="195" t="str">
        <f t="shared" si="74"/>
        <v/>
      </c>
      <c r="T498" s="196" t="str">
        <f t="shared" si="75"/>
        <v/>
      </c>
      <c r="U498" s="197" t="str">
        <f t="shared" si="76"/>
        <v/>
      </c>
      <c r="V498" s="198" t="str">
        <f t="shared" si="73"/>
        <v/>
      </c>
      <c r="W498" s="339" t="str">
        <f t="shared" si="77"/>
        <v/>
      </c>
      <c r="X498" s="341" t="str">
        <f t="shared" si="78"/>
        <v/>
      </c>
      <c r="Y498" s="277"/>
      <c r="AR498" t="str">
        <f t="shared" si="79"/>
        <v/>
      </c>
      <c r="AS498" t="str">
        <f t="shared" si="80"/>
        <v/>
      </c>
    </row>
    <row r="499" spans="1:45">
      <c r="A499" s="294"/>
      <c r="B499" s="295"/>
      <c r="C499" s="296"/>
      <c r="D499" s="296"/>
      <c r="E499" s="296"/>
      <c r="F499" s="296"/>
      <c r="G499" s="297"/>
      <c r="H499" s="303"/>
      <c r="I499" s="298"/>
      <c r="J499" s="298"/>
      <c r="K499" s="299"/>
      <c r="L499" s="304"/>
      <c r="M499" s="300"/>
      <c r="N499" s="301"/>
      <c r="P499" s="193" t="str">
        <f>IF(R499 = "", "", COUNT(R$4:$R499))</f>
        <v/>
      </c>
      <c r="Q499" s="193" t="str">
        <f t="shared" si="71"/>
        <v/>
      </c>
      <c r="R499" s="194" t="str">
        <f t="shared" si="72"/>
        <v/>
      </c>
      <c r="S499" s="195" t="str">
        <f t="shared" si="74"/>
        <v/>
      </c>
      <c r="T499" s="196" t="str">
        <f t="shared" si="75"/>
        <v/>
      </c>
      <c r="U499" s="197" t="str">
        <f t="shared" si="76"/>
        <v/>
      </c>
      <c r="V499" s="198" t="str">
        <f t="shared" si="73"/>
        <v/>
      </c>
      <c r="W499" s="339" t="str">
        <f t="shared" si="77"/>
        <v/>
      </c>
      <c r="X499" s="341" t="str">
        <f t="shared" si="78"/>
        <v/>
      </c>
      <c r="Y499" s="277"/>
      <c r="AR499" t="str">
        <f t="shared" si="79"/>
        <v/>
      </c>
      <c r="AS499" t="str">
        <f t="shared" si="80"/>
        <v/>
      </c>
    </row>
    <row r="500" spans="1:45">
      <c r="A500" s="294"/>
      <c r="B500" s="295"/>
      <c r="C500" s="296"/>
      <c r="D500" s="296"/>
      <c r="E500" s="296"/>
      <c r="F500" s="296"/>
      <c r="G500" s="297"/>
      <c r="H500" s="303"/>
      <c r="I500" s="298"/>
      <c r="J500" s="298"/>
      <c r="K500" s="299"/>
      <c r="L500" s="304"/>
      <c r="M500" s="300"/>
      <c r="N500" s="301"/>
      <c r="P500" s="193" t="str">
        <f>IF(R500 = "", "", COUNT(R$4:$R500))</f>
        <v/>
      </c>
      <c r="Q500" s="193" t="str">
        <f t="shared" si="71"/>
        <v/>
      </c>
      <c r="R500" s="194" t="str">
        <f t="shared" si="72"/>
        <v/>
      </c>
      <c r="S500" s="195" t="str">
        <f t="shared" si="74"/>
        <v/>
      </c>
      <c r="T500" s="196" t="str">
        <f t="shared" si="75"/>
        <v/>
      </c>
      <c r="U500" s="197" t="str">
        <f t="shared" si="76"/>
        <v/>
      </c>
      <c r="V500" s="198" t="str">
        <f t="shared" si="73"/>
        <v/>
      </c>
      <c r="W500" s="339" t="str">
        <f t="shared" si="77"/>
        <v/>
      </c>
      <c r="X500" s="341" t="str">
        <f t="shared" si="78"/>
        <v/>
      </c>
      <c r="Y500" s="277"/>
      <c r="AR500" t="str">
        <f t="shared" si="79"/>
        <v/>
      </c>
      <c r="AS500" t="str">
        <f t="shared" si="80"/>
        <v/>
      </c>
    </row>
    <row r="501" spans="1:45">
      <c r="A501" s="294"/>
      <c r="B501" s="295"/>
      <c r="C501" s="296"/>
      <c r="D501" s="296"/>
      <c r="E501" s="296"/>
      <c r="F501" s="296"/>
      <c r="G501" s="297"/>
      <c r="H501" s="303"/>
      <c r="I501" s="298"/>
      <c r="J501" s="298"/>
      <c r="K501" s="299"/>
      <c r="L501" s="304"/>
      <c r="M501" s="300"/>
      <c r="N501" s="301"/>
      <c r="P501" s="193" t="str">
        <f>IF(R501 = "", "", COUNT(R$4:$R501))</f>
        <v/>
      </c>
      <c r="Q501" s="193" t="str">
        <f t="shared" si="71"/>
        <v/>
      </c>
      <c r="R501" s="194" t="str">
        <f t="shared" si="72"/>
        <v/>
      </c>
      <c r="S501" s="195" t="str">
        <f t="shared" si="74"/>
        <v/>
      </c>
      <c r="T501" s="196" t="str">
        <f t="shared" si="75"/>
        <v/>
      </c>
      <c r="U501" s="197" t="str">
        <f t="shared" si="76"/>
        <v/>
      </c>
      <c r="V501" s="198" t="str">
        <f t="shared" si="73"/>
        <v/>
      </c>
      <c r="W501" s="339" t="str">
        <f t="shared" si="77"/>
        <v/>
      </c>
      <c r="X501" s="341" t="str">
        <f t="shared" si="78"/>
        <v/>
      </c>
      <c r="Y501" s="277"/>
      <c r="AR501" t="str">
        <f t="shared" si="79"/>
        <v/>
      </c>
      <c r="AS501" t="str">
        <f t="shared" si="80"/>
        <v/>
      </c>
    </row>
    <row r="502" spans="1:45">
      <c r="A502" s="294"/>
      <c r="B502" s="295"/>
      <c r="C502" s="296"/>
      <c r="D502" s="296"/>
      <c r="E502" s="296"/>
      <c r="F502" s="296"/>
      <c r="G502" s="297"/>
      <c r="H502" s="303"/>
      <c r="I502" s="298"/>
      <c r="J502" s="298"/>
      <c r="K502" s="299"/>
      <c r="L502" s="304"/>
      <c r="M502" s="300"/>
      <c r="N502" s="301"/>
      <c r="P502" s="193" t="str">
        <f>IF(R502 = "", "", COUNT(R$4:$R502))</f>
        <v/>
      </c>
      <c r="Q502" s="193" t="str">
        <f t="shared" si="71"/>
        <v/>
      </c>
      <c r="R502" s="194" t="str">
        <f t="shared" si="72"/>
        <v/>
      </c>
      <c r="S502" s="195" t="str">
        <f t="shared" si="74"/>
        <v/>
      </c>
      <c r="T502" s="196" t="str">
        <f t="shared" si="75"/>
        <v/>
      </c>
      <c r="U502" s="197" t="str">
        <f t="shared" si="76"/>
        <v/>
      </c>
      <c r="V502" s="198" t="str">
        <f t="shared" si="73"/>
        <v/>
      </c>
      <c r="W502" s="339" t="str">
        <f t="shared" si="77"/>
        <v/>
      </c>
      <c r="X502" s="341" t="str">
        <f t="shared" si="78"/>
        <v/>
      </c>
      <c r="Y502" s="277"/>
      <c r="AR502" t="str">
        <f t="shared" si="79"/>
        <v/>
      </c>
      <c r="AS502" t="str">
        <f t="shared" si="80"/>
        <v/>
      </c>
    </row>
    <row r="503" spans="1:45">
      <c r="A503" s="294"/>
      <c r="B503" s="295"/>
      <c r="C503" s="296"/>
      <c r="D503" s="296"/>
      <c r="E503" s="296"/>
      <c r="F503" s="296"/>
      <c r="G503" s="297"/>
      <c r="H503" s="303"/>
      <c r="I503" s="298"/>
      <c r="J503" s="298"/>
      <c r="K503" s="299"/>
      <c r="L503" s="304"/>
      <c r="M503" s="300"/>
      <c r="N503" s="301"/>
      <c r="P503" s="193" t="str">
        <f>IF(R503 = "", "", COUNT(R$4:$R503))</f>
        <v/>
      </c>
      <c r="Q503" s="193" t="str">
        <f t="shared" si="71"/>
        <v/>
      </c>
      <c r="R503" s="194" t="str">
        <f t="shared" si="72"/>
        <v/>
      </c>
      <c r="S503" s="195" t="str">
        <f t="shared" si="74"/>
        <v/>
      </c>
      <c r="T503" s="196" t="str">
        <f t="shared" si="75"/>
        <v/>
      </c>
      <c r="U503" s="197" t="str">
        <f t="shared" si="76"/>
        <v/>
      </c>
      <c r="V503" s="198" t="str">
        <f t="shared" si="73"/>
        <v/>
      </c>
      <c r="W503" s="339" t="str">
        <f t="shared" si="77"/>
        <v/>
      </c>
      <c r="X503" s="341" t="str">
        <f t="shared" si="78"/>
        <v/>
      </c>
      <c r="Y503" s="277"/>
      <c r="AR503" t="str">
        <f t="shared" si="79"/>
        <v/>
      </c>
      <c r="AS503" t="str">
        <f t="shared" si="80"/>
        <v/>
      </c>
    </row>
    <row r="504" spans="1:45">
      <c r="A504" s="294"/>
      <c r="B504" s="295"/>
      <c r="C504" s="296"/>
      <c r="D504" s="296"/>
      <c r="E504" s="296"/>
      <c r="F504" s="296"/>
      <c r="G504" s="297"/>
      <c r="H504" s="303"/>
      <c r="I504" s="298"/>
      <c r="J504" s="298"/>
      <c r="K504" s="299"/>
      <c r="L504" s="304"/>
      <c r="M504" s="300"/>
      <c r="N504" s="301"/>
      <c r="P504" s="193" t="str">
        <f>IF(R504 = "", "", COUNT(R$4:$R504))</f>
        <v/>
      </c>
      <c r="Q504" s="193" t="str">
        <f t="shared" si="71"/>
        <v/>
      </c>
      <c r="R504" s="194" t="str">
        <f t="shared" si="72"/>
        <v/>
      </c>
      <c r="S504" s="195" t="str">
        <f t="shared" si="74"/>
        <v/>
      </c>
      <c r="T504" s="196" t="str">
        <f t="shared" si="75"/>
        <v/>
      </c>
      <c r="U504" s="197" t="str">
        <f t="shared" si="76"/>
        <v/>
      </c>
      <c r="V504" s="198" t="str">
        <f t="shared" si="73"/>
        <v/>
      </c>
      <c r="W504" s="339" t="str">
        <f t="shared" si="77"/>
        <v/>
      </c>
      <c r="X504" s="341" t="str">
        <f t="shared" si="78"/>
        <v/>
      </c>
      <c r="Y504" s="277"/>
      <c r="AR504" t="str">
        <f t="shared" si="79"/>
        <v/>
      </c>
      <c r="AS504" t="str">
        <f t="shared" si="80"/>
        <v/>
      </c>
    </row>
    <row r="505" spans="1:45">
      <c r="A505" s="294"/>
      <c r="B505" s="295"/>
      <c r="C505" s="296"/>
      <c r="D505" s="296"/>
      <c r="E505" s="296"/>
      <c r="F505" s="296"/>
      <c r="G505" s="297"/>
      <c r="H505" s="303"/>
      <c r="I505" s="298"/>
      <c r="J505" s="298"/>
      <c r="K505" s="299"/>
      <c r="L505" s="304"/>
      <c r="M505" s="300"/>
      <c r="N505" s="301"/>
      <c r="P505" s="193" t="str">
        <f>IF(R505 = "", "", COUNT(R$4:$R505))</f>
        <v/>
      </c>
      <c r="Q505" s="193" t="str">
        <f t="shared" si="71"/>
        <v/>
      </c>
      <c r="R505" s="194" t="str">
        <f t="shared" si="72"/>
        <v/>
      </c>
      <c r="S505" s="195" t="str">
        <f t="shared" si="74"/>
        <v/>
      </c>
      <c r="T505" s="196" t="str">
        <f t="shared" si="75"/>
        <v/>
      </c>
      <c r="U505" s="197" t="str">
        <f t="shared" si="76"/>
        <v/>
      </c>
      <c r="V505" s="198" t="str">
        <f t="shared" si="73"/>
        <v/>
      </c>
      <c r="W505" s="339" t="str">
        <f t="shared" si="77"/>
        <v/>
      </c>
      <c r="X505" s="341" t="str">
        <f t="shared" si="78"/>
        <v/>
      </c>
      <c r="Y505" s="277"/>
      <c r="AR505" t="str">
        <f t="shared" si="79"/>
        <v/>
      </c>
      <c r="AS505" t="str">
        <f t="shared" si="80"/>
        <v/>
      </c>
    </row>
    <row r="506" spans="1:45">
      <c r="A506" s="294"/>
      <c r="B506" s="295"/>
      <c r="C506" s="296"/>
      <c r="D506" s="296"/>
      <c r="E506" s="296"/>
      <c r="F506" s="296"/>
      <c r="G506" s="297"/>
      <c r="H506" s="303"/>
      <c r="I506" s="298"/>
      <c r="J506" s="298"/>
      <c r="K506" s="299"/>
      <c r="L506" s="304"/>
      <c r="M506" s="300"/>
      <c r="N506" s="301"/>
      <c r="P506" s="193" t="str">
        <f>IF(R506 = "", "", COUNT(R$4:$R506))</f>
        <v/>
      </c>
      <c r="Q506" s="193" t="str">
        <f t="shared" si="71"/>
        <v/>
      </c>
      <c r="R506" s="194" t="str">
        <f t="shared" si="72"/>
        <v/>
      </c>
      <c r="S506" s="195" t="str">
        <f t="shared" si="74"/>
        <v/>
      </c>
      <c r="T506" s="196" t="str">
        <f t="shared" si="75"/>
        <v/>
      </c>
      <c r="U506" s="197" t="str">
        <f t="shared" si="76"/>
        <v/>
      </c>
      <c r="V506" s="198" t="str">
        <f t="shared" si="73"/>
        <v/>
      </c>
      <c r="W506" s="339" t="str">
        <f t="shared" si="77"/>
        <v/>
      </c>
      <c r="X506" s="341" t="str">
        <f t="shared" si="78"/>
        <v/>
      </c>
      <c r="Y506" s="277"/>
      <c r="AR506" t="str">
        <f t="shared" si="79"/>
        <v/>
      </c>
      <c r="AS506" t="str">
        <f t="shared" si="80"/>
        <v/>
      </c>
    </row>
    <row r="507" spans="1:45">
      <c r="A507" s="294"/>
      <c r="B507" s="295"/>
      <c r="C507" s="296"/>
      <c r="D507" s="296"/>
      <c r="E507" s="296"/>
      <c r="F507" s="296"/>
      <c r="G507" s="297"/>
      <c r="H507" s="303"/>
      <c r="I507" s="298"/>
      <c r="J507" s="298"/>
      <c r="K507" s="299"/>
      <c r="L507" s="304"/>
      <c r="M507" s="300"/>
      <c r="N507" s="301"/>
      <c r="P507" s="193" t="str">
        <f>IF(R507 = "", "", COUNT(R$4:$R507))</f>
        <v/>
      </c>
      <c r="Q507" s="193" t="str">
        <f t="shared" si="71"/>
        <v/>
      </c>
      <c r="R507" s="194" t="str">
        <f t="shared" si="72"/>
        <v/>
      </c>
      <c r="S507" s="195" t="str">
        <f t="shared" si="74"/>
        <v/>
      </c>
      <c r="T507" s="196" t="str">
        <f t="shared" si="75"/>
        <v/>
      </c>
      <c r="U507" s="197" t="str">
        <f t="shared" si="76"/>
        <v/>
      </c>
      <c r="V507" s="198" t="str">
        <f t="shared" si="73"/>
        <v/>
      </c>
      <c r="W507" s="339" t="str">
        <f t="shared" si="77"/>
        <v/>
      </c>
      <c r="X507" s="341" t="str">
        <f t="shared" si="78"/>
        <v/>
      </c>
      <c r="Y507" s="277"/>
      <c r="AR507" t="str">
        <f t="shared" si="79"/>
        <v/>
      </c>
      <c r="AS507" t="str">
        <f t="shared" si="80"/>
        <v/>
      </c>
    </row>
    <row r="508" spans="1:45">
      <c r="A508" s="294"/>
      <c r="B508" s="295"/>
      <c r="C508" s="296"/>
      <c r="D508" s="296"/>
      <c r="E508" s="296"/>
      <c r="F508" s="296"/>
      <c r="G508" s="297"/>
      <c r="H508" s="303"/>
      <c r="I508" s="298"/>
      <c r="J508" s="298"/>
      <c r="K508" s="299"/>
      <c r="L508" s="304"/>
      <c r="M508" s="300"/>
      <c r="N508" s="301"/>
      <c r="P508" s="193" t="str">
        <f>IF(R508 = "", "", COUNT(R$4:$R508))</f>
        <v/>
      </c>
      <c r="Q508" s="193" t="str">
        <f t="shared" si="71"/>
        <v/>
      </c>
      <c r="R508" s="194" t="str">
        <f t="shared" si="72"/>
        <v/>
      </c>
      <c r="S508" s="195" t="str">
        <f t="shared" si="74"/>
        <v/>
      </c>
      <c r="T508" s="196" t="str">
        <f t="shared" si="75"/>
        <v/>
      </c>
      <c r="U508" s="197" t="str">
        <f t="shared" si="76"/>
        <v/>
      </c>
      <c r="V508" s="198" t="str">
        <f t="shared" si="73"/>
        <v/>
      </c>
      <c r="W508" s="339" t="str">
        <f t="shared" si="77"/>
        <v/>
      </c>
      <c r="X508" s="341" t="str">
        <f t="shared" si="78"/>
        <v/>
      </c>
      <c r="Y508" s="277"/>
      <c r="AR508" t="str">
        <f t="shared" si="79"/>
        <v/>
      </c>
      <c r="AS508" t="str">
        <f t="shared" si="80"/>
        <v/>
      </c>
    </row>
    <row r="509" spans="1:45">
      <c r="A509" s="294"/>
      <c r="B509" s="295"/>
      <c r="C509" s="296"/>
      <c r="D509" s="296"/>
      <c r="E509" s="296"/>
      <c r="F509" s="296"/>
      <c r="G509" s="297"/>
      <c r="H509" s="303"/>
      <c r="I509" s="298"/>
      <c r="J509" s="298"/>
      <c r="K509" s="299"/>
      <c r="L509" s="304"/>
      <c r="M509" s="300"/>
      <c r="N509" s="301"/>
      <c r="P509" s="193" t="str">
        <f>IF(R509 = "", "", COUNT(R$4:$R509))</f>
        <v/>
      </c>
      <c r="Q509" s="193" t="str">
        <f t="shared" si="71"/>
        <v/>
      </c>
      <c r="R509" s="194" t="str">
        <f t="shared" si="72"/>
        <v/>
      </c>
      <c r="S509" s="195" t="str">
        <f t="shared" si="74"/>
        <v/>
      </c>
      <c r="T509" s="196" t="str">
        <f t="shared" si="75"/>
        <v/>
      </c>
      <c r="U509" s="197" t="str">
        <f t="shared" si="76"/>
        <v/>
      </c>
      <c r="V509" s="198" t="str">
        <f t="shared" si="73"/>
        <v/>
      </c>
      <c r="W509" s="339" t="str">
        <f t="shared" si="77"/>
        <v/>
      </c>
      <c r="X509" s="341" t="str">
        <f t="shared" si="78"/>
        <v/>
      </c>
      <c r="Y509" s="277"/>
      <c r="AR509" t="str">
        <f t="shared" si="79"/>
        <v/>
      </c>
      <c r="AS509" t="str">
        <f t="shared" si="80"/>
        <v/>
      </c>
    </row>
    <row r="510" spans="1:45">
      <c r="A510" s="294"/>
      <c r="B510" s="295"/>
      <c r="C510" s="296"/>
      <c r="D510" s="296"/>
      <c r="E510" s="296"/>
      <c r="F510" s="296"/>
      <c r="G510" s="297"/>
      <c r="H510" s="303"/>
      <c r="I510" s="298"/>
      <c r="J510" s="298"/>
      <c r="K510" s="299"/>
      <c r="L510" s="304"/>
      <c r="M510" s="300"/>
      <c r="N510" s="301"/>
      <c r="P510" s="193" t="str">
        <f>IF(R510 = "", "", COUNT(R$4:$R510))</f>
        <v/>
      </c>
      <c r="Q510" s="193" t="str">
        <f t="shared" si="71"/>
        <v/>
      </c>
      <c r="R510" s="194" t="str">
        <f t="shared" si="72"/>
        <v/>
      </c>
      <c r="S510" s="195" t="str">
        <f t="shared" si="74"/>
        <v/>
      </c>
      <c r="T510" s="196" t="str">
        <f t="shared" si="75"/>
        <v/>
      </c>
      <c r="U510" s="197" t="str">
        <f t="shared" si="76"/>
        <v/>
      </c>
      <c r="V510" s="198" t="str">
        <f t="shared" si="73"/>
        <v/>
      </c>
      <c r="W510" s="339" t="str">
        <f t="shared" si="77"/>
        <v/>
      </c>
      <c r="X510" s="341" t="str">
        <f t="shared" si="78"/>
        <v/>
      </c>
      <c r="Y510" s="277"/>
      <c r="AR510" t="str">
        <f t="shared" si="79"/>
        <v/>
      </c>
      <c r="AS510" t="str">
        <f t="shared" si="80"/>
        <v/>
      </c>
    </row>
    <row r="511" spans="1:45">
      <c r="A511" s="294"/>
      <c r="B511" s="295"/>
      <c r="C511" s="296"/>
      <c r="D511" s="296"/>
      <c r="E511" s="296"/>
      <c r="F511" s="296"/>
      <c r="G511" s="297"/>
      <c r="H511" s="303"/>
      <c r="I511" s="298"/>
      <c r="J511" s="298"/>
      <c r="K511" s="299"/>
      <c r="L511" s="304"/>
      <c r="M511" s="300"/>
      <c r="N511" s="301"/>
      <c r="P511" s="193" t="str">
        <f>IF(R511 = "", "", COUNT(R$4:$R511))</f>
        <v/>
      </c>
      <c r="Q511" s="193" t="str">
        <f t="shared" si="71"/>
        <v/>
      </c>
      <c r="R511" s="194" t="str">
        <f t="shared" si="72"/>
        <v/>
      </c>
      <c r="S511" s="195" t="str">
        <f t="shared" si="74"/>
        <v/>
      </c>
      <c r="T511" s="196" t="str">
        <f t="shared" si="75"/>
        <v/>
      </c>
      <c r="U511" s="197" t="str">
        <f t="shared" si="76"/>
        <v/>
      </c>
      <c r="V511" s="198" t="str">
        <f t="shared" si="73"/>
        <v/>
      </c>
      <c r="W511" s="339" t="str">
        <f t="shared" si="77"/>
        <v/>
      </c>
      <c r="X511" s="341" t="str">
        <f t="shared" si="78"/>
        <v/>
      </c>
      <c r="Y511" s="277"/>
      <c r="AR511" t="str">
        <f t="shared" si="79"/>
        <v/>
      </c>
      <c r="AS511" t="str">
        <f t="shared" si="80"/>
        <v/>
      </c>
    </row>
    <row r="512" spans="1:45">
      <c r="A512" s="294"/>
      <c r="B512" s="295"/>
      <c r="C512" s="296"/>
      <c r="D512" s="296"/>
      <c r="E512" s="296"/>
      <c r="F512" s="296"/>
      <c r="G512" s="297"/>
      <c r="H512" s="303"/>
      <c r="I512" s="298"/>
      <c r="J512" s="298"/>
      <c r="K512" s="299"/>
      <c r="L512" s="304"/>
      <c r="M512" s="300"/>
      <c r="N512" s="301"/>
      <c r="P512" s="193" t="str">
        <f>IF(R512 = "", "", COUNT(R$4:$R512))</f>
        <v/>
      </c>
      <c r="Q512" s="193" t="str">
        <f t="shared" si="71"/>
        <v/>
      </c>
      <c r="R512" s="194" t="str">
        <f t="shared" si="72"/>
        <v/>
      </c>
      <c r="S512" s="195" t="str">
        <f t="shared" si="74"/>
        <v/>
      </c>
      <c r="T512" s="196" t="str">
        <f t="shared" si="75"/>
        <v/>
      </c>
      <c r="U512" s="197" t="str">
        <f t="shared" si="76"/>
        <v/>
      </c>
      <c r="V512" s="198" t="str">
        <f t="shared" si="73"/>
        <v/>
      </c>
      <c r="W512" s="339" t="str">
        <f t="shared" si="77"/>
        <v/>
      </c>
      <c r="X512" s="341" t="str">
        <f t="shared" si="78"/>
        <v/>
      </c>
      <c r="Y512" s="277"/>
      <c r="AR512" t="str">
        <f t="shared" si="79"/>
        <v/>
      </c>
      <c r="AS512" t="str">
        <f t="shared" si="80"/>
        <v/>
      </c>
    </row>
    <row r="513" spans="1:45">
      <c r="A513" s="294"/>
      <c r="B513" s="295"/>
      <c r="C513" s="296"/>
      <c r="D513" s="296"/>
      <c r="E513" s="296"/>
      <c r="F513" s="296"/>
      <c r="G513" s="297"/>
      <c r="H513" s="303"/>
      <c r="I513" s="298"/>
      <c r="J513" s="298"/>
      <c r="K513" s="299"/>
      <c r="L513" s="304"/>
      <c r="M513" s="300"/>
      <c r="N513" s="301"/>
      <c r="P513" s="193" t="str">
        <f>IF(R513 = "", "", COUNT(R$4:$R513))</f>
        <v/>
      </c>
      <c r="Q513" s="193" t="str">
        <f t="shared" si="71"/>
        <v/>
      </c>
      <c r="R513" s="194" t="str">
        <f t="shared" si="72"/>
        <v/>
      </c>
      <c r="S513" s="195" t="str">
        <f t="shared" si="74"/>
        <v/>
      </c>
      <c r="T513" s="196" t="str">
        <f t="shared" si="75"/>
        <v/>
      </c>
      <c r="U513" s="197" t="str">
        <f t="shared" si="76"/>
        <v/>
      </c>
      <c r="V513" s="198" t="str">
        <f t="shared" si="73"/>
        <v/>
      </c>
      <c r="W513" s="339" t="str">
        <f t="shared" si="77"/>
        <v/>
      </c>
      <c r="X513" s="341" t="str">
        <f t="shared" si="78"/>
        <v/>
      </c>
      <c r="Y513" s="277"/>
      <c r="AR513" t="str">
        <f t="shared" si="79"/>
        <v/>
      </c>
      <c r="AS513" t="str">
        <f t="shared" si="80"/>
        <v/>
      </c>
    </row>
    <row r="514" spans="1:45">
      <c r="A514" s="294"/>
      <c r="B514" s="295"/>
      <c r="C514" s="296"/>
      <c r="D514" s="296"/>
      <c r="E514" s="296"/>
      <c r="F514" s="296"/>
      <c r="G514" s="297"/>
      <c r="H514" s="303"/>
      <c r="I514" s="298"/>
      <c r="J514" s="298"/>
      <c r="K514" s="299"/>
      <c r="L514" s="304"/>
      <c r="M514" s="300"/>
      <c r="N514" s="301"/>
      <c r="P514" s="193" t="str">
        <f>IF(R514 = "", "", COUNT(R$4:$R514))</f>
        <v/>
      </c>
      <c r="Q514" s="193" t="str">
        <f t="shared" si="71"/>
        <v/>
      </c>
      <c r="R514" s="194" t="str">
        <f t="shared" si="72"/>
        <v/>
      </c>
      <c r="S514" s="195" t="str">
        <f t="shared" si="74"/>
        <v/>
      </c>
      <c r="T514" s="196" t="str">
        <f t="shared" si="75"/>
        <v/>
      </c>
      <c r="U514" s="197" t="str">
        <f t="shared" si="76"/>
        <v/>
      </c>
      <c r="V514" s="198" t="str">
        <f t="shared" si="73"/>
        <v/>
      </c>
      <c r="W514" s="339" t="str">
        <f t="shared" si="77"/>
        <v/>
      </c>
      <c r="X514" s="341" t="str">
        <f t="shared" si="78"/>
        <v/>
      </c>
      <c r="Y514" s="277"/>
      <c r="AR514" t="str">
        <f t="shared" si="79"/>
        <v/>
      </c>
      <c r="AS514" t="str">
        <f t="shared" si="80"/>
        <v/>
      </c>
    </row>
    <row r="515" spans="1:45">
      <c r="A515" s="294"/>
      <c r="B515" s="295"/>
      <c r="C515" s="296"/>
      <c r="D515" s="296"/>
      <c r="E515" s="296"/>
      <c r="F515" s="296"/>
      <c r="G515" s="297"/>
      <c r="H515" s="303"/>
      <c r="I515" s="298"/>
      <c r="J515" s="298"/>
      <c r="K515" s="299"/>
      <c r="L515" s="304"/>
      <c r="M515" s="300"/>
      <c r="N515" s="301"/>
      <c r="P515" s="193" t="str">
        <f>IF(R515 = "", "", COUNT(R$4:$R515))</f>
        <v/>
      </c>
      <c r="Q515" s="193" t="str">
        <f t="shared" si="71"/>
        <v/>
      </c>
      <c r="R515" s="194" t="str">
        <f t="shared" si="72"/>
        <v/>
      </c>
      <c r="S515" s="195" t="str">
        <f t="shared" si="74"/>
        <v/>
      </c>
      <c r="T515" s="196" t="str">
        <f t="shared" si="75"/>
        <v/>
      </c>
      <c r="U515" s="197" t="str">
        <f t="shared" si="76"/>
        <v/>
      </c>
      <c r="V515" s="198" t="str">
        <f t="shared" si="73"/>
        <v/>
      </c>
      <c r="W515" s="339" t="str">
        <f t="shared" si="77"/>
        <v/>
      </c>
      <c r="X515" s="341" t="str">
        <f t="shared" si="78"/>
        <v/>
      </c>
      <c r="Y515" s="277"/>
      <c r="AR515" t="str">
        <f t="shared" si="79"/>
        <v/>
      </c>
      <c r="AS515" t="str">
        <f t="shared" si="80"/>
        <v/>
      </c>
    </row>
    <row r="516" spans="1:45">
      <c r="A516" s="294"/>
      <c r="B516" s="295"/>
      <c r="C516" s="296"/>
      <c r="D516" s="296"/>
      <c r="E516" s="296"/>
      <c r="F516" s="296"/>
      <c r="G516" s="297"/>
      <c r="H516" s="303"/>
      <c r="I516" s="298"/>
      <c r="J516" s="298"/>
      <c r="K516" s="299"/>
      <c r="L516" s="304"/>
      <c r="M516" s="300"/>
      <c r="N516" s="301"/>
      <c r="P516" s="193" t="str">
        <f>IF(R516 = "", "", COUNT(R$4:$R516))</f>
        <v/>
      </c>
      <c r="Q516" s="193" t="str">
        <f t="shared" ref="Q516:Q579" si="81">IF(C516 &gt; 0, YEAR(B516), "")</f>
        <v/>
      </c>
      <c r="R516" s="194" t="str">
        <f t="shared" ref="R516:R579" si="82">IF(A516="", "", IF(G516="",1,IF(G516="O",1,IF(G516="C",8.4,IF(G516="B",8.4,IF(G516="A",76.8,IF(G516="K",76.8,"ERR")))))))</f>
        <v/>
      </c>
      <c r="S516" s="195" t="str">
        <f t="shared" si="74"/>
        <v/>
      </c>
      <c r="T516" s="196" t="str">
        <f t="shared" si="75"/>
        <v/>
      </c>
      <c r="U516" s="197" t="str">
        <f t="shared" si="76"/>
        <v/>
      </c>
      <c r="V516" s="198" t="str">
        <f t="shared" ref="V516:V579" si="83">IF(IF(M516&lt;&gt;"",G516,"")=0, "O", IF(M516&lt;&gt;"",G516,""))</f>
        <v/>
      </c>
      <c r="W516" s="339" t="str">
        <f t="shared" si="77"/>
        <v/>
      </c>
      <c r="X516" s="341" t="str">
        <f t="shared" si="78"/>
        <v/>
      </c>
      <c r="Y516" s="277"/>
      <c r="AR516" t="str">
        <f t="shared" si="79"/>
        <v/>
      </c>
      <c r="AS516" t="str">
        <f t="shared" si="80"/>
        <v/>
      </c>
    </row>
    <row r="517" spans="1:45">
      <c r="A517" s="294"/>
      <c r="B517" s="295"/>
      <c r="C517" s="296"/>
      <c r="D517" s="296"/>
      <c r="E517" s="296"/>
      <c r="F517" s="296"/>
      <c r="G517" s="297"/>
      <c r="H517" s="303"/>
      <c r="I517" s="298"/>
      <c r="J517" s="298"/>
      <c r="K517" s="299"/>
      <c r="L517" s="304"/>
      <c r="M517" s="300"/>
      <c r="N517" s="301"/>
      <c r="P517" s="193" t="str">
        <f>IF(R517 = "", "", COUNT(R$4:$R517))</f>
        <v/>
      </c>
      <c r="Q517" s="193" t="str">
        <f t="shared" si="81"/>
        <v/>
      </c>
      <c r="R517" s="194" t="str">
        <f t="shared" si="82"/>
        <v/>
      </c>
      <c r="S517" s="195" t="str">
        <f t="shared" ref="S517:S580" si="84">IF(L517&lt;&gt;"",R517,"")</f>
        <v/>
      </c>
      <c r="T517" s="196" t="str">
        <f t="shared" ref="T517:T580" si="85">IF(IF(L517&lt;&gt;"",G517,"")=0, "O", IF(L517&lt;&gt;"",G517,""))</f>
        <v/>
      </c>
      <c r="U517" s="197" t="str">
        <f t="shared" ref="U517:U580" si="86">IF(M517&lt;&gt;"",R517,"")</f>
        <v/>
      </c>
      <c r="V517" s="198" t="str">
        <f t="shared" si="83"/>
        <v/>
      </c>
      <c r="W517" s="339" t="str">
        <f t="shared" ref="W517:W580" si="87">IF(N517&lt;&gt;"",R517,"")</f>
        <v/>
      </c>
      <c r="X517" s="341" t="str">
        <f t="shared" ref="X517:X580" si="88">IF(IF(N517&lt;&gt;"",G517,"")=0, "O", IF(N517&lt;&gt;"",G517,""))</f>
        <v/>
      </c>
      <c r="Y517" s="277"/>
      <c r="AR517" t="str">
        <f t="shared" ref="AR517:AR580" si="89">IF(P517&gt;0, P517, "")</f>
        <v/>
      </c>
      <c r="AS517" t="str">
        <f t="shared" ref="AS517:AS580" si="90">IF(OR(L517="Y",M517="Y",N517="Y"),"Y","")</f>
        <v/>
      </c>
    </row>
    <row r="518" spans="1:45">
      <c r="A518" s="294"/>
      <c r="B518" s="295"/>
      <c r="C518" s="296"/>
      <c r="D518" s="296"/>
      <c r="E518" s="296"/>
      <c r="F518" s="296"/>
      <c r="G518" s="297"/>
      <c r="H518" s="303"/>
      <c r="I518" s="298"/>
      <c r="J518" s="298"/>
      <c r="K518" s="299"/>
      <c r="L518" s="304"/>
      <c r="M518" s="300"/>
      <c r="N518" s="301"/>
      <c r="P518" s="193" t="str">
        <f>IF(R518 = "", "", COUNT(R$4:$R518))</f>
        <v/>
      </c>
      <c r="Q518" s="193" t="str">
        <f t="shared" si="81"/>
        <v/>
      </c>
      <c r="R518" s="194" t="str">
        <f t="shared" si="82"/>
        <v/>
      </c>
      <c r="S518" s="195" t="str">
        <f t="shared" si="84"/>
        <v/>
      </c>
      <c r="T518" s="196" t="str">
        <f t="shared" si="85"/>
        <v/>
      </c>
      <c r="U518" s="197" t="str">
        <f t="shared" si="86"/>
        <v/>
      </c>
      <c r="V518" s="198" t="str">
        <f t="shared" si="83"/>
        <v/>
      </c>
      <c r="W518" s="339" t="str">
        <f t="shared" si="87"/>
        <v/>
      </c>
      <c r="X518" s="341" t="str">
        <f t="shared" si="88"/>
        <v/>
      </c>
      <c r="Y518" s="277"/>
      <c r="AR518" t="str">
        <f t="shared" si="89"/>
        <v/>
      </c>
      <c r="AS518" t="str">
        <f t="shared" si="90"/>
        <v/>
      </c>
    </row>
    <row r="519" spans="1:45">
      <c r="A519" s="294"/>
      <c r="B519" s="295"/>
      <c r="C519" s="296"/>
      <c r="D519" s="296"/>
      <c r="E519" s="296"/>
      <c r="F519" s="296"/>
      <c r="G519" s="297"/>
      <c r="H519" s="303"/>
      <c r="I519" s="298"/>
      <c r="J519" s="298"/>
      <c r="K519" s="299"/>
      <c r="L519" s="304"/>
      <c r="M519" s="300"/>
      <c r="N519" s="301"/>
      <c r="P519" s="193" t="str">
        <f>IF(R519 = "", "", COUNT(R$4:$R519))</f>
        <v/>
      </c>
      <c r="Q519" s="193" t="str">
        <f t="shared" si="81"/>
        <v/>
      </c>
      <c r="R519" s="194" t="str">
        <f t="shared" si="82"/>
        <v/>
      </c>
      <c r="S519" s="195" t="str">
        <f t="shared" si="84"/>
        <v/>
      </c>
      <c r="T519" s="196" t="str">
        <f t="shared" si="85"/>
        <v/>
      </c>
      <c r="U519" s="197" t="str">
        <f t="shared" si="86"/>
        <v/>
      </c>
      <c r="V519" s="198" t="str">
        <f t="shared" si="83"/>
        <v/>
      </c>
      <c r="W519" s="339" t="str">
        <f t="shared" si="87"/>
        <v/>
      </c>
      <c r="X519" s="341" t="str">
        <f t="shared" si="88"/>
        <v/>
      </c>
      <c r="Y519" s="277"/>
      <c r="AR519" t="str">
        <f t="shared" si="89"/>
        <v/>
      </c>
      <c r="AS519" t="str">
        <f t="shared" si="90"/>
        <v/>
      </c>
    </row>
    <row r="520" spans="1:45">
      <c r="A520" s="294"/>
      <c r="B520" s="295"/>
      <c r="C520" s="296"/>
      <c r="D520" s="296"/>
      <c r="E520" s="296"/>
      <c r="F520" s="296"/>
      <c r="G520" s="297"/>
      <c r="H520" s="303"/>
      <c r="I520" s="298"/>
      <c r="J520" s="298"/>
      <c r="K520" s="299"/>
      <c r="L520" s="304"/>
      <c r="M520" s="300"/>
      <c r="N520" s="301"/>
      <c r="P520" s="193" t="str">
        <f>IF(R520 = "", "", COUNT(R$4:$R520))</f>
        <v/>
      </c>
      <c r="Q520" s="193" t="str">
        <f t="shared" si="81"/>
        <v/>
      </c>
      <c r="R520" s="194" t="str">
        <f t="shared" si="82"/>
        <v/>
      </c>
      <c r="S520" s="195" t="str">
        <f t="shared" si="84"/>
        <v/>
      </c>
      <c r="T520" s="196" t="str">
        <f t="shared" si="85"/>
        <v/>
      </c>
      <c r="U520" s="197" t="str">
        <f t="shared" si="86"/>
        <v/>
      </c>
      <c r="V520" s="198" t="str">
        <f t="shared" si="83"/>
        <v/>
      </c>
      <c r="W520" s="339" t="str">
        <f t="shared" si="87"/>
        <v/>
      </c>
      <c r="X520" s="341" t="str">
        <f t="shared" si="88"/>
        <v/>
      </c>
      <c r="Y520" s="277"/>
      <c r="AR520" t="str">
        <f t="shared" si="89"/>
        <v/>
      </c>
      <c r="AS520" t="str">
        <f t="shared" si="90"/>
        <v/>
      </c>
    </row>
    <row r="521" spans="1:45">
      <c r="A521" s="294"/>
      <c r="B521" s="295"/>
      <c r="C521" s="296"/>
      <c r="D521" s="296"/>
      <c r="E521" s="296"/>
      <c r="F521" s="296"/>
      <c r="G521" s="297"/>
      <c r="H521" s="303"/>
      <c r="I521" s="298"/>
      <c r="J521" s="298"/>
      <c r="K521" s="299"/>
      <c r="L521" s="304"/>
      <c r="M521" s="300"/>
      <c r="N521" s="301"/>
      <c r="P521" s="193" t="str">
        <f>IF(R521 = "", "", COUNT(R$4:$R521))</f>
        <v/>
      </c>
      <c r="Q521" s="193" t="str">
        <f t="shared" si="81"/>
        <v/>
      </c>
      <c r="R521" s="194" t="str">
        <f t="shared" si="82"/>
        <v/>
      </c>
      <c r="S521" s="195" t="str">
        <f t="shared" si="84"/>
        <v/>
      </c>
      <c r="T521" s="196" t="str">
        <f t="shared" si="85"/>
        <v/>
      </c>
      <c r="U521" s="197" t="str">
        <f t="shared" si="86"/>
        <v/>
      </c>
      <c r="V521" s="198" t="str">
        <f t="shared" si="83"/>
        <v/>
      </c>
      <c r="W521" s="339" t="str">
        <f t="shared" si="87"/>
        <v/>
      </c>
      <c r="X521" s="341" t="str">
        <f t="shared" si="88"/>
        <v/>
      </c>
      <c r="Y521" s="277"/>
      <c r="AR521" t="str">
        <f t="shared" si="89"/>
        <v/>
      </c>
      <c r="AS521" t="str">
        <f t="shared" si="90"/>
        <v/>
      </c>
    </row>
    <row r="522" spans="1:45">
      <c r="A522" s="294"/>
      <c r="B522" s="295"/>
      <c r="C522" s="296"/>
      <c r="D522" s="296"/>
      <c r="E522" s="296"/>
      <c r="F522" s="296"/>
      <c r="G522" s="297"/>
      <c r="H522" s="303"/>
      <c r="I522" s="298"/>
      <c r="J522" s="298"/>
      <c r="K522" s="299"/>
      <c r="L522" s="304"/>
      <c r="M522" s="300"/>
      <c r="N522" s="301"/>
      <c r="P522" s="193" t="str">
        <f>IF(R522 = "", "", COUNT(R$4:$R522))</f>
        <v/>
      </c>
      <c r="Q522" s="193" t="str">
        <f t="shared" si="81"/>
        <v/>
      </c>
      <c r="R522" s="194" t="str">
        <f t="shared" si="82"/>
        <v/>
      </c>
      <c r="S522" s="195" t="str">
        <f t="shared" si="84"/>
        <v/>
      </c>
      <c r="T522" s="196" t="str">
        <f t="shared" si="85"/>
        <v/>
      </c>
      <c r="U522" s="197" t="str">
        <f t="shared" si="86"/>
        <v/>
      </c>
      <c r="V522" s="198" t="str">
        <f t="shared" si="83"/>
        <v/>
      </c>
      <c r="W522" s="339" t="str">
        <f t="shared" si="87"/>
        <v/>
      </c>
      <c r="X522" s="341" t="str">
        <f t="shared" si="88"/>
        <v/>
      </c>
      <c r="Y522" s="277"/>
      <c r="AR522" t="str">
        <f t="shared" si="89"/>
        <v/>
      </c>
      <c r="AS522" t="str">
        <f t="shared" si="90"/>
        <v/>
      </c>
    </row>
    <row r="523" spans="1:45">
      <c r="A523" s="294"/>
      <c r="B523" s="295"/>
      <c r="C523" s="296"/>
      <c r="D523" s="296"/>
      <c r="E523" s="296"/>
      <c r="F523" s="296"/>
      <c r="G523" s="297"/>
      <c r="H523" s="303"/>
      <c r="I523" s="298"/>
      <c r="J523" s="298"/>
      <c r="K523" s="299"/>
      <c r="L523" s="304"/>
      <c r="M523" s="300"/>
      <c r="N523" s="301"/>
      <c r="P523" s="193" t="str">
        <f>IF(R523 = "", "", COUNT(R$4:$R523))</f>
        <v/>
      </c>
      <c r="Q523" s="193" t="str">
        <f t="shared" si="81"/>
        <v/>
      </c>
      <c r="R523" s="194" t="str">
        <f t="shared" si="82"/>
        <v/>
      </c>
      <c r="S523" s="195" t="str">
        <f t="shared" si="84"/>
        <v/>
      </c>
      <c r="T523" s="196" t="str">
        <f t="shared" si="85"/>
        <v/>
      </c>
      <c r="U523" s="197" t="str">
        <f t="shared" si="86"/>
        <v/>
      </c>
      <c r="V523" s="198" t="str">
        <f t="shared" si="83"/>
        <v/>
      </c>
      <c r="W523" s="339" t="str">
        <f t="shared" si="87"/>
        <v/>
      </c>
      <c r="X523" s="341" t="str">
        <f t="shared" si="88"/>
        <v/>
      </c>
      <c r="Y523" s="277"/>
      <c r="AR523" t="str">
        <f t="shared" si="89"/>
        <v/>
      </c>
      <c r="AS523" t="str">
        <f t="shared" si="90"/>
        <v/>
      </c>
    </row>
    <row r="524" spans="1:45">
      <c r="A524" s="294"/>
      <c r="B524" s="295"/>
      <c r="C524" s="296"/>
      <c r="D524" s="296"/>
      <c r="E524" s="296"/>
      <c r="F524" s="296"/>
      <c r="G524" s="297"/>
      <c r="H524" s="303"/>
      <c r="I524" s="298"/>
      <c r="J524" s="298"/>
      <c r="K524" s="299"/>
      <c r="L524" s="304"/>
      <c r="M524" s="300"/>
      <c r="N524" s="301"/>
      <c r="P524" s="193" t="str">
        <f>IF(R524 = "", "", COUNT(R$4:$R524))</f>
        <v/>
      </c>
      <c r="Q524" s="193" t="str">
        <f t="shared" si="81"/>
        <v/>
      </c>
      <c r="R524" s="194" t="str">
        <f t="shared" si="82"/>
        <v/>
      </c>
      <c r="S524" s="195" t="str">
        <f t="shared" si="84"/>
        <v/>
      </c>
      <c r="T524" s="196" t="str">
        <f t="shared" si="85"/>
        <v/>
      </c>
      <c r="U524" s="197" t="str">
        <f t="shared" si="86"/>
        <v/>
      </c>
      <c r="V524" s="198" t="str">
        <f t="shared" si="83"/>
        <v/>
      </c>
      <c r="W524" s="339" t="str">
        <f t="shared" si="87"/>
        <v/>
      </c>
      <c r="X524" s="341" t="str">
        <f t="shared" si="88"/>
        <v/>
      </c>
      <c r="Y524" s="277"/>
      <c r="AR524" t="str">
        <f t="shared" si="89"/>
        <v/>
      </c>
      <c r="AS524" t="str">
        <f t="shared" si="90"/>
        <v/>
      </c>
    </row>
    <row r="525" spans="1:45">
      <c r="A525" s="294"/>
      <c r="B525" s="295"/>
      <c r="C525" s="296"/>
      <c r="D525" s="296"/>
      <c r="E525" s="296"/>
      <c r="F525" s="296"/>
      <c r="G525" s="297"/>
      <c r="H525" s="303"/>
      <c r="I525" s="298"/>
      <c r="J525" s="298"/>
      <c r="K525" s="299"/>
      <c r="L525" s="304"/>
      <c r="M525" s="300"/>
      <c r="N525" s="301"/>
      <c r="P525" s="193" t="str">
        <f>IF(R525 = "", "", COUNT(R$4:$R525))</f>
        <v/>
      </c>
      <c r="Q525" s="193" t="str">
        <f t="shared" si="81"/>
        <v/>
      </c>
      <c r="R525" s="194" t="str">
        <f t="shared" si="82"/>
        <v/>
      </c>
      <c r="S525" s="195" t="str">
        <f t="shared" si="84"/>
        <v/>
      </c>
      <c r="T525" s="196" t="str">
        <f t="shared" si="85"/>
        <v/>
      </c>
      <c r="U525" s="197" t="str">
        <f t="shared" si="86"/>
        <v/>
      </c>
      <c r="V525" s="198" t="str">
        <f t="shared" si="83"/>
        <v/>
      </c>
      <c r="W525" s="339" t="str">
        <f t="shared" si="87"/>
        <v/>
      </c>
      <c r="X525" s="341" t="str">
        <f t="shared" si="88"/>
        <v/>
      </c>
      <c r="Y525" s="277"/>
      <c r="AR525" t="str">
        <f t="shared" si="89"/>
        <v/>
      </c>
      <c r="AS525" t="str">
        <f t="shared" si="90"/>
        <v/>
      </c>
    </row>
    <row r="526" spans="1:45">
      <c r="A526" s="294"/>
      <c r="B526" s="295"/>
      <c r="C526" s="296"/>
      <c r="D526" s="296"/>
      <c r="E526" s="296"/>
      <c r="F526" s="296"/>
      <c r="G526" s="297"/>
      <c r="H526" s="303"/>
      <c r="I526" s="298"/>
      <c r="J526" s="298"/>
      <c r="K526" s="299"/>
      <c r="L526" s="304"/>
      <c r="M526" s="300"/>
      <c r="N526" s="301"/>
      <c r="P526" s="193" t="str">
        <f>IF(R526 = "", "", COUNT(R$4:$R526))</f>
        <v/>
      </c>
      <c r="Q526" s="193" t="str">
        <f t="shared" si="81"/>
        <v/>
      </c>
      <c r="R526" s="194" t="str">
        <f t="shared" si="82"/>
        <v/>
      </c>
      <c r="S526" s="195" t="str">
        <f t="shared" si="84"/>
        <v/>
      </c>
      <c r="T526" s="196" t="str">
        <f t="shared" si="85"/>
        <v/>
      </c>
      <c r="U526" s="197" t="str">
        <f t="shared" si="86"/>
        <v/>
      </c>
      <c r="V526" s="198" t="str">
        <f t="shared" si="83"/>
        <v/>
      </c>
      <c r="W526" s="339" t="str">
        <f t="shared" si="87"/>
        <v/>
      </c>
      <c r="X526" s="341" t="str">
        <f t="shared" si="88"/>
        <v/>
      </c>
      <c r="Y526" s="277"/>
      <c r="AR526" t="str">
        <f t="shared" si="89"/>
        <v/>
      </c>
      <c r="AS526" t="str">
        <f t="shared" si="90"/>
        <v/>
      </c>
    </row>
    <row r="527" spans="1:45">
      <c r="A527" s="294"/>
      <c r="B527" s="295"/>
      <c r="C527" s="296"/>
      <c r="D527" s="296"/>
      <c r="E527" s="296"/>
      <c r="F527" s="296"/>
      <c r="G527" s="297"/>
      <c r="H527" s="303"/>
      <c r="I527" s="298"/>
      <c r="J527" s="298"/>
      <c r="K527" s="299"/>
      <c r="L527" s="304"/>
      <c r="M527" s="300"/>
      <c r="N527" s="301"/>
      <c r="P527" s="193" t="str">
        <f>IF(R527 = "", "", COUNT(R$4:$R527))</f>
        <v/>
      </c>
      <c r="Q527" s="193" t="str">
        <f t="shared" si="81"/>
        <v/>
      </c>
      <c r="R527" s="194" t="str">
        <f t="shared" si="82"/>
        <v/>
      </c>
      <c r="S527" s="195" t="str">
        <f t="shared" si="84"/>
        <v/>
      </c>
      <c r="T527" s="196" t="str">
        <f t="shared" si="85"/>
        <v/>
      </c>
      <c r="U527" s="197" t="str">
        <f t="shared" si="86"/>
        <v/>
      </c>
      <c r="V527" s="198" t="str">
        <f t="shared" si="83"/>
        <v/>
      </c>
      <c r="W527" s="339" t="str">
        <f t="shared" si="87"/>
        <v/>
      </c>
      <c r="X527" s="341" t="str">
        <f t="shared" si="88"/>
        <v/>
      </c>
      <c r="Y527" s="277"/>
      <c r="AR527" t="str">
        <f t="shared" si="89"/>
        <v/>
      </c>
      <c r="AS527" t="str">
        <f t="shared" si="90"/>
        <v/>
      </c>
    </row>
    <row r="528" spans="1:45">
      <c r="A528" s="294"/>
      <c r="B528" s="295"/>
      <c r="C528" s="296"/>
      <c r="D528" s="296"/>
      <c r="E528" s="296"/>
      <c r="F528" s="296"/>
      <c r="G528" s="297"/>
      <c r="H528" s="303"/>
      <c r="I528" s="298"/>
      <c r="J528" s="298"/>
      <c r="K528" s="299"/>
      <c r="L528" s="304"/>
      <c r="M528" s="300"/>
      <c r="N528" s="301"/>
      <c r="P528" s="193" t="str">
        <f>IF(R528 = "", "", COUNT(R$4:$R528))</f>
        <v/>
      </c>
      <c r="Q528" s="193" t="str">
        <f t="shared" si="81"/>
        <v/>
      </c>
      <c r="R528" s="194" t="str">
        <f t="shared" si="82"/>
        <v/>
      </c>
      <c r="S528" s="195" t="str">
        <f t="shared" si="84"/>
        <v/>
      </c>
      <c r="T528" s="196" t="str">
        <f t="shared" si="85"/>
        <v/>
      </c>
      <c r="U528" s="197" t="str">
        <f t="shared" si="86"/>
        <v/>
      </c>
      <c r="V528" s="198" t="str">
        <f t="shared" si="83"/>
        <v/>
      </c>
      <c r="W528" s="339" t="str">
        <f t="shared" si="87"/>
        <v/>
      </c>
      <c r="X528" s="341" t="str">
        <f t="shared" si="88"/>
        <v/>
      </c>
      <c r="Y528" s="277"/>
      <c r="AR528" t="str">
        <f t="shared" si="89"/>
        <v/>
      </c>
      <c r="AS528" t="str">
        <f t="shared" si="90"/>
        <v/>
      </c>
    </row>
    <row r="529" spans="1:45">
      <c r="A529" s="294"/>
      <c r="B529" s="295"/>
      <c r="C529" s="296"/>
      <c r="D529" s="296"/>
      <c r="E529" s="296"/>
      <c r="F529" s="296"/>
      <c r="G529" s="297"/>
      <c r="H529" s="303"/>
      <c r="I529" s="298"/>
      <c r="J529" s="298"/>
      <c r="K529" s="299"/>
      <c r="L529" s="304"/>
      <c r="M529" s="300"/>
      <c r="N529" s="301"/>
      <c r="P529" s="193" t="str">
        <f>IF(R529 = "", "", COUNT(R$4:$R529))</f>
        <v/>
      </c>
      <c r="Q529" s="193" t="str">
        <f t="shared" si="81"/>
        <v/>
      </c>
      <c r="R529" s="194" t="str">
        <f t="shared" si="82"/>
        <v/>
      </c>
      <c r="S529" s="195" t="str">
        <f t="shared" si="84"/>
        <v/>
      </c>
      <c r="T529" s="196" t="str">
        <f t="shared" si="85"/>
        <v/>
      </c>
      <c r="U529" s="197" t="str">
        <f t="shared" si="86"/>
        <v/>
      </c>
      <c r="V529" s="198" t="str">
        <f t="shared" si="83"/>
        <v/>
      </c>
      <c r="W529" s="339" t="str">
        <f t="shared" si="87"/>
        <v/>
      </c>
      <c r="X529" s="341" t="str">
        <f t="shared" si="88"/>
        <v/>
      </c>
      <c r="Y529" s="277"/>
      <c r="AR529" t="str">
        <f t="shared" si="89"/>
        <v/>
      </c>
      <c r="AS529" t="str">
        <f t="shared" si="90"/>
        <v/>
      </c>
    </row>
    <row r="530" spans="1:45">
      <c r="A530" s="294"/>
      <c r="B530" s="295"/>
      <c r="C530" s="296"/>
      <c r="D530" s="296"/>
      <c r="E530" s="296"/>
      <c r="F530" s="296"/>
      <c r="G530" s="297"/>
      <c r="H530" s="303"/>
      <c r="I530" s="298"/>
      <c r="J530" s="298"/>
      <c r="K530" s="299"/>
      <c r="L530" s="304"/>
      <c r="M530" s="300"/>
      <c r="N530" s="301"/>
      <c r="P530" s="193" t="str">
        <f>IF(R530 = "", "", COUNT(R$4:$R530))</f>
        <v/>
      </c>
      <c r="Q530" s="193" t="str">
        <f t="shared" si="81"/>
        <v/>
      </c>
      <c r="R530" s="194" t="str">
        <f t="shared" si="82"/>
        <v/>
      </c>
      <c r="S530" s="195" t="str">
        <f t="shared" si="84"/>
        <v/>
      </c>
      <c r="T530" s="196" t="str">
        <f t="shared" si="85"/>
        <v/>
      </c>
      <c r="U530" s="197" t="str">
        <f t="shared" si="86"/>
        <v/>
      </c>
      <c r="V530" s="198" t="str">
        <f t="shared" si="83"/>
        <v/>
      </c>
      <c r="W530" s="339" t="str">
        <f t="shared" si="87"/>
        <v/>
      </c>
      <c r="X530" s="341" t="str">
        <f t="shared" si="88"/>
        <v/>
      </c>
      <c r="Y530" s="277"/>
      <c r="AR530" t="str">
        <f t="shared" si="89"/>
        <v/>
      </c>
      <c r="AS530" t="str">
        <f t="shared" si="90"/>
        <v/>
      </c>
    </row>
    <row r="531" spans="1:45">
      <c r="A531" s="294"/>
      <c r="B531" s="295"/>
      <c r="C531" s="296"/>
      <c r="D531" s="296"/>
      <c r="E531" s="296"/>
      <c r="F531" s="296"/>
      <c r="G531" s="297"/>
      <c r="H531" s="303"/>
      <c r="I531" s="298"/>
      <c r="J531" s="298"/>
      <c r="K531" s="299"/>
      <c r="L531" s="304"/>
      <c r="M531" s="300"/>
      <c r="N531" s="301"/>
      <c r="P531" s="193" t="str">
        <f>IF(R531 = "", "", COUNT(R$4:$R531))</f>
        <v/>
      </c>
      <c r="Q531" s="193" t="str">
        <f t="shared" si="81"/>
        <v/>
      </c>
      <c r="R531" s="194" t="str">
        <f t="shared" si="82"/>
        <v/>
      </c>
      <c r="S531" s="195" t="str">
        <f t="shared" si="84"/>
        <v/>
      </c>
      <c r="T531" s="196" t="str">
        <f t="shared" si="85"/>
        <v/>
      </c>
      <c r="U531" s="197" t="str">
        <f t="shared" si="86"/>
        <v/>
      </c>
      <c r="V531" s="198" t="str">
        <f t="shared" si="83"/>
        <v/>
      </c>
      <c r="W531" s="339" t="str">
        <f t="shared" si="87"/>
        <v/>
      </c>
      <c r="X531" s="341" t="str">
        <f t="shared" si="88"/>
        <v/>
      </c>
      <c r="Y531" s="277"/>
      <c r="AR531" t="str">
        <f t="shared" si="89"/>
        <v/>
      </c>
      <c r="AS531" t="str">
        <f t="shared" si="90"/>
        <v/>
      </c>
    </row>
    <row r="532" spans="1:45">
      <c r="A532" s="294"/>
      <c r="B532" s="295"/>
      <c r="C532" s="296"/>
      <c r="D532" s="296"/>
      <c r="E532" s="296"/>
      <c r="F532" s="296"/>
      <c r="G532" s="297"/>
      <c r="H532" s="303"/>
      <c r="I532" s="298"/>
      <c r="J532" s="298"/>
      <c r="K532" s="299"/>
      <c r="L532" s="304"/>
      <c r="M532" s="300"/>
      <c r="N532" s="301"/>
      <c r="P532" s="193" t="str">
        <f>IF(R532 = "", "", COUNT(R$4:$R532))</f>
        <v/>
      </c>
      <c r="Q532" s="193" t="str">
        <f t="shared" si="81"/>
        <v/>
      </c>
      <c r="R532" s="194" t="str">
        <f t="shared" si="82"/>
        <v/>
      </c>
      <c r="S532" s="195" t="str">
        <f t="shared" si="84"/>
        <v/>
      </c>
      <c r="T532" s="196" t="str">
        <f t="shared" si="85"/>
        <v/>
      </c>
      <c r="U532" s="197" t="str">
        <f t="shared" si="86"/>
        <v/>
      </c>
      <c r="V532" s="198" t="str">
        <f t="shared" si="83"/>
        <v/>
      </c>
      <c r="W532" s="339" t="str">
        <f t="shared" si="87"/>
        <v/>
      </c>
      <c r="X532" s="341" t="str">
        <f t="shared" si="88"/>
        <v/>
      </c>
      <c r="Y532" s="277"/>
      <c r="AR532" t="str">
        <f t="shared" si="89"/>
        <v/>
      </c>
      <c r="AS532" t="str">
        <f t="shared" si="90"/>
        <v/>
      </c>
    </row>
    <row r="533" spans="1:45">
      <c r="A533" s="294"/>
      <c r="B533" s="295"/>
      <c r="C533" s="296"/>
      <c r="D533" s="296"/>
      <c r="E533" s="296"/>
      <c r="F533" s="296"/>
      <c r="G533" s="297"/>
      <c r="H533" s="303"/>
      <c r="I533" s="298"/>
      <c r="J533" s="298"/>
      <c r="K533" s="299"/>
      <c r="L533" s="304"/>
      <c r="M533" s="300"/>
      <c r="N533" s="301"/>
      <c r="P533" s="193" t="str">
        <f>IF(R533 = "", "", COUNT(R$4:$R533))</f>
        <v/>
      </c>
      <c r="Q533" s="193" t="str">
        <f t="shared" si="81"/>
        <v/>
      </c>
      <c r="R533" s="194" t="str">
        <f t="shared" si="82"/>
        <v/>
      </c>
      <c r="S533" s="195" t="str">
        <f t="shared" si="84"/>
        <v/>
      </c>
      <c r="T533" s="196" t="str">
        <f t="shared" si="85"/>
        <v/>
      </c>
      <c r="U533" s="197" t="str">
        <f t="shared" si="86"/>
        <v/>
      </c>
      <c r="V533" s="198" t="str">
        <f t="shared" si="83"/>
        <v/>
      </c>
      <c r="W533" s="339" t="str">
        <f t="shared" si="87"/>
        <v/>
      </c>
      <c r="X533" s="341" t="str">
        <f t="shared" si="88"/>
        <v/>
      </c>
      <c r="Y533" s="277"/>
      <c r="AR533" t="str">
        <f t="shared" si="89"/>
        <v/>
      </c>
      <c r="AS533" t="str">
        <f t="shared" si="90"/>
        <v/>
      </c>
    </row>
    <row r="534" spans="1:45">
      <c r="A534" s="294"/>
      <c r="B534" s="295"/>
      <c r="C534" s="296"/>
      <c r="D534" s="296"/>
      <c r="E534" s="296"/>
      <c r="F534" s="296"/>
      <c r="G534" s="297"/>
      <c r="H534" s="303"/>
      <c r="I534" s="298"/>
      <c r="J534" s="298"/>
      <c r="K534" s="299"/>
      <c r="L534" s="304"/>
      <c r="M534" s="300"/>
      <c r="N534" s="301"/>
      <c r="P534" s="193" t="str">
        <f>IF(R534 = "", "", COUNT(R$4:$R534))</f>
        <v/>
      </c>
      <c r="Q534" s="193" t="str">
        <f t="shared" si="81"/>
        <v/>
      </c>
      <c r="R534" s="194" t="str">
        <f t="shared" si="82"/>
        <v/>
      </c>
      <c r="S534" s="195" t="str">
        <f t="shared" si="84"/>
        <v/>
      </c>
      <c r="T534" s="196" t="str">
        <f t="shared" si="85"/>
        <v/>
      </c>
      <c r="U534" s="197" t="str">
        <f t="shared" si="86"/>
        <v/>
      </c>
      <c r="V534" s="198" t="str">
        <f t="shared" si="83"/>
        <v/>
      </c>
      <c r="W534" s="339" t="str">
        <f t="shared" si="87"/>
        <v/>
      </c>
      <c r="X534" s="341" t="str">
        <f t="shared" si="88"/>
        <v/>
      </c>
      <c r="Y534" s="277"/>
      <c r="AR534" t="str">
        <f t="shared" si="89"/>
        <v/>
      </c>
      <c r="AS534" t="str">
        <f t="shared" si="90"/>
        <v/>
      </c>
    </row>
    <row r="535" spans="1:45">
      <c r="A535" s="294"/>
      <c r="B535" s="295"/>
      <c r="C535" s="296"/>
      <c r="D535" s="296"/>
      <c r="E535" s="296"/>
      <c r="F535" s="296"/>
      <c r="G535" s="297"/>
      <c r="H535" s="303"/>
      <c r="I535" s="298"/>
      <c r="J535" s="298"/>
      <c r="K535" s="299"/>
      <c r="L535" s="304"/>
      <c r="M535" s="300"/>
      <c r="N535" s="301"/>
      <c r="P535" s="193" t="str">
        <f>IF(R535 = "", "", COUNT(R$4:$R535))</f>
        <v/>
      </c>
      <c r="Q535" s="193" t="str">
        <f t="shared" si="81"/>
        <v/>
      </c>
      <c r="R535" s="194" t="str">
        <f t="shared" si="82"/>
        <v/>
      </c>
      <c r="S535" s="195" t="str">
        <f t="shared" si="84"/>
        <v/>
      </c>
      <c r="T535" s="196" t="str">
        <f t="shared" si="85"/>
        <v/>
      </c>
      <c r="U535" s="197" t="str">
        <f t="shared" si="86"/>
        <v/>
      </c>
      <c r="V535" s="198" t="str">
        <f t="shared" si="83"/>
        <v/>
      </c>
      <c r="W535" s="339" t="str">
        <f t="shared" si="87"/>
        <v/>
      </c>
      <c r="X535" s="341" t="str">
        <f t="shared" si="88"/>
        <v/>
      </c>
      <c r="Y535" s="277"/>
      <c r="AR535" t="str">
        <f t="shared" si="89"/>
        <v/>
      </c>
      <c r="AS535" t="str">
        <f t="shared" si="90"/>
        <v/>
      </c>
    </row>
    <row r="536" spans="1:45">
      <c r="A536" s="294"/>
      <c r="B536" s="295"/>
      <c r="C536" s="296"/>
      <c r="D536" s="296"/>
      <c r="E536" s="296"/>
      <c r="F536" s="296"/>
      <c r="G536" s="297"/>
      <c r="H536" s="303"/>
      <c r="I536" s="298"/>
      <c r="J536" s="298"/>
      <c r="K536" s="299"/>
      <c r="L536" s="304"/>
      <c r="M536" s="300"/>
      <c r="N536" s="301"/>
      <c r="P536" s="193" t="str">
        <f>IF(R536 = "", "", COUNT(R$4:$R536))</f>
        <v/>
      </c>
      <c r="Q536" s="193" t="str">
        <f t="shared" si="81"/>
        <v/>
      </c>
      <c r="R536" s="194" t="str">
        <f t="shared" si="82"/>
        <v/>
      </c>
      <c r="S536" s="195" t="str">
        <f t="shared" si="84"/>
        <v/>
      </c>
      <c r="T536" s="196" t="str">
        <f t="shared" si="85"/>
        <v/>
      </c>
      <c r="U536" s="197" t="str">
        <f t="shared" si="86"/>
        <v/>
      </c>
      <c r="V536" s="198" t="str">
        <f t="shared" si="83"/>
        <v/>
      </c>
      <c r="W536" s="339" t="str">
        <f t="shared" si="87"/>
        <v/>
      </c>
      <c r="X536" s="341" t="str">
        <f t="shared" si="88"/>
        <v/>
      </c>
      <c r="Y536" s="277"/>
      <c r="AR536" t="str">
        <f t="shared" si="89"/>
        <v/>
      </c>
      <c r="AS536" t="str">
        <f t="shared" si="90"/>
        <v/>
      </c>
    </row>
    <row r="537" spans="1:45">
      <c r="A537" s="294"/>
      <c r="B537" s="295"/>
      <c r="C537" s="296"/>
      <c r="D537" s="296"/>
      <c r="E537" s="296"/>
      <c r="F537" s="296"/>
      <c r="G537" s="297"/>
      <c r="H537" s="303"/>
      <c r="I537" s="298"/>
      <c r="J537" s="298"/>
      <c r="K537" s="299"/>
      <c r="L537" s="304"/>
      <c r="M537" s="300"/>
      <c r="N537" s="301"/>
      <c r="P537" s="193" t="str">
        <f>IF(R537 = "", "", COUNT(R$4:$R537))</f>
        <v/>
      </c>
      <c r="Q537" s="193" t="str">
        <f t="shared" si="81"/>
        <v/>
      </c>
      <c r="R537" s="194" t="str">
        <f t="shared" si="82"/>
        <v/>
      </c>
      <c r="S537" s="195" t="str">
        <f t="shared" si="84"/>
        <v/>
      </c>
      <c r="T537" s="196" t="str">
        <f t="shared" si="85"/>
        <v/>
      </c>
      <c r="U537" s="197" t="str">
        <f t="shared" si="86"/>
        <v/>
      </c>
      <c r="V537" s="198" t="str">
        <f t="shared" si="83"/>
        <v/>
      </c>
      <c r="W537" s="339" t="str">
        <f t="shared" si="87"/>
        <v/>
      </c>
      <c r="X537" s="341" t="str">
        <f t="shared" si="88"/>
        <v/>
      </c>
      <c r="Y537" s="277"/>
      <c r="AR537" t="str">
        <f t="shared" si="89"/>
        <v/>
      </c>
      <c r="AS537" t="str">
        <f t="shared" si="90"/>
        <v/>
      </c>
    </row>
    <row r="538" spans="1:45">
      <c r="A538" s="294"/>
      <c r="B538" s="295"/>
      <c r="C538" s="296"/>
      <c r="D538" s="296"/>
      <c r="E538" s="296"/>
      <c r="F538" s="296"/>
      <c r="G538" s="297"/>
      <c r="H538" s="303"/>
      <c r="I538" s="298"/>
      <c r="J538" s="298"/>
      <c r="K538" s="299"/>
      <c r="L538" s="304"/>
      <c r="M538" s="300"/>
      <c r="N538" s="301"/>
      <c r="P538" s="193" t="str">
        <f>IF(R538 = "", "", COUNT(R$4:$R538))</f>
        <v/>
      </c>
      <c r="Q538" s="193" t="str">
        <f t="shared" si="81"/>
        <v/>
      </c>
      <c r="R538" s="194" t="str">
        <f t="shared" si="82"/>
        <v/>
      </c>
      <c r="S538" s="195" t="str">
        <f t="shared" si="84"/>
        <v/>
      </c>
      <c r="T538" s="196" t="str">
        <f t="shared" si="85"/>
        <v/>
      </c>
      <c r="U538" s="197" t="str">
        <f t="shared" si="86"/>
        <v/>
      </c>
      <c r="V538" s="198" t="str">
        <f t="shared" si="83"/>
        <v/>
      </c>
      <c r="W538" s="339" t="str">
        <f t="shared" si="87"/>
        <v/>
      </c>
      <c r="X538" s="341" t="str">
        <f t="shared" si="88"/>
        <v/>
      </c>
      <c r="Y538" s="277"/>
      <c r="AR538" t="str">
        <f t="shared" si="89"/>
        <v/>
      </c>
      <c r="AS538" t="str">
        <f t="shared" si="90"/>
        <v/>
      </c>
    </row>
    <row r="539" spans="1:45">
      <c r="A539" s="294"/>
      <c r="B539" s="295"/>
      <c r="C539" s="296"/>
      <c r="D539" s="296"/>
      <c r="E539" s="296"/>
      <c r="F539" s="296"/>
      <c r="G539" s="297"/>
      <c r="H539" s="303"/>
      <c r="I539" s="298"/>
      <c r="J539" s="298"/>
      <c r="K539" s="299"/>
      <c r="L539" s="304"/>
      <c r="M539" s="300"/>
      <c r="N539" s="301"/>
      <c r="P539" s="193" t="str">
        <f>IF(R539 = "", "", COUNT(R$4:$R539))</f>
        <v/>
      </c>
      <c r="Q539" s="193" t="str">
        <f t="shared" si="81"/>
        <v/>
      </c>
      <c r="R539" s="194" t="str">
        <f t="shared" si="82"/>
        <v/>
      </c>
      <c r="S539" s="195" t="str">
        <f t="shared" si="84"/>
        <v/>
      </c>
      <c r="T539" s="196" t="str">
        <f t="shared" si="85"/>
        <v/>
      </c>
      <c r="U539" s="197" t="str">
        <f t="shared" si="86"/>
        <v/>
      </c>
      <c r="V539" s="198" t="str">
        <f t="shared" si="83"/>
        <v/>
      </c>
      <c r="W539" s="339" t="str">
        <f t="shared" si="87"/>
        <v/>
      </c>
      <c r="X539" s="341" t="str">
        <f t="shared" si="88"/>
        <v/>
      </c>
      <c r="Y539" s="277"/>
      <c r="AR539" t="str">
        <f t="shared" si="89"/>
        <v/>
      </c>
      <c r="AS539" t="str">
        <f t="shared" si="90"/>
        <v/>
      </c>
    </row>
    <row r="540" spans="1:45">
      <c r="A540" s="294"/>
      <c r="B540" s="295"/>
      <c r="C540" s="296"/>
      <c r="D540" s="296"/>
      <c r="E540" s="296"/>
      <c r="F540" s="296"/>
      <c r="G540" s="297"/>
      <c r="H540" s="303"/>
      <c r="I540" s="298"/>
      <c r="J540" s="298"/>
      <c r="K540" s="299"/>
      <c r="L540" s="304"/>
      <c r="M540" s="300"/>
      <c r="N540" s="301"/>
      <c r="P540" s="193" t="str">
        <f>IF(R540 = "", "", COUNT(R$4:$R540))</f>
        <v/>
      </c>
      <c r="Q540" s="193" t="str">
        <f t="shared" si="81"/>
        <v/>
      </c>
      <c r="R540" s="194" t="str">
        <f t="shared" si="82"/>
        <v/>
      </c>
      <c r="S540" s="195" t="str">
        <f t="shared" si="84"/>
        <v/>
      </c>
      <c r="T540" s="196" t="str">
        <f t="shared" si="85"/>
        <v/>
      </c>
      <c r="U540" s="197" t="str">
        <f t="shared" si="86"/>
        <v/>
      </c>
      <c r="V540" s="198" t="str">
        <f t="shared" si="83"/>
        <v/>
      </c>
      <c r="W540" s="339" t="str">
        <f t="shared" si="87"/>
        <v/>
      </c>
      <c r="X540" s="341" t="str">
        <f t="shared" si="88"/>
        <v/>
      </c>
      <c r="Y540" s="277"/>
      <c r="AR540" t="str">
        <f t="shared" si="89"/>
        <v/>
      </c>
      <c r="AS540" t="str">
        <f t="shared" si="90"/>
        <v/>
      </c>
    </row>
    <row r="541" spans="1:45">
      <c r="A541" s="294"/>
      <c r="B541" s="295"/>
      <c r="C541" s="296"/>
      <c r="D541" s="296"/>
      <c r="E541" s="296"/>
      <c r="F541" s="296"/>
      <c r="G541" s="297"/>
      <c r="H541" s="303"/>
      <c r="I541" s="298"/>
      <c r="J541" s="298"/>
      <c r="K541" s="299"/>
      <c r="L541" s="304"/>
      <c r="M541" s="300"/>
      <c r="N541" s="301"/>
      <c r="P541" s="193" t="str">
        <f>IF(R541 = "", "", COUNT(R$4:$R541))</f>
        <v/>
      </c>
      <c r="Q541" s="193" t="str">
        <f t="shared" si="81"/>
        <v/>
      </c>
      <c r="R541" s="194" t="str">
        <f t="shared" si="82"/>
        <v/>
      </c>
      <c r="S541" s="195" t="str">
        <f t="shared" si="84"/>
        <v/>
      </c>
      <c r="T541" s="196" t="str">
        <f t="shared" si="85"/>
        <v/>
      </c>
      <c r="U541" s="197" t="str">
        <f t="shared" si="86"/>
        <v/>
      </c>
      <c r="V541" s="198" t="str">
        <f t="shared" si="83"/>
        <v/>
      </c>
      <c r="W541" s="339" t="str">
        <f t="shared" si="87"/>
        <v/>
      </c>
      <c r="X541" s="341" t="str">
        <f t="shared" si="88"/>
        <v/>
      </c>
      <c r="Y541" s="277"/>
      <c r="AR541" t="str">
        <f t="shared" si="89"/>
        <v/>
      </c>
      <c r="AS541" t="str">
        <f t="shared" si="90"/>
        <v/>
      </c>
    </row>
    <row r="542" spans="1:45">
      <c r="A542" s="294"/>
      <c r="B542" s="295"/>
      <c r="C542" s="296"/>
      <c r="D542" s="296"/>
      <c r="E542" s="296"/>
      <c r="F542" s="296"/>
      <c r="G542" s="297"/>
      <c r="H542" s="303"/>
      <c r="I542" s="298"/>
      <c r="J542" s="298"/>
      <c r="K542" s="299"/>
      <c r="L542" s="304"/>
      <c r="M542" s="300"/>
      <c r="N542" s="301"/>
      <c r="P542" s="193" t="str">
        <f>IF(R542 = "", "", COUNT(R$4:$R542))</f>
        <v/>
      </c>
      <c r="Q542" s="193" t="str">
        <f t="shared" si="81"/>
        <v/>
      </c>
      <c r="R542" s="194" t="str">
        <f t="shared" si="82"/>
        <v/>
      </c>
      <c r="S542" s="195" t="str">
        <f t="shared" si="84"/>
        <v/>
      </c>
      <c r="T542" s="196" t="str">
        <f t="shared" si="85"/>
        <v/>
      </c>
      <c r="U542" s="197" t="str">
        <f t="shared" si="86"/>
        <v/>
      </c>
      <c r="V542" s="198" t="str">
        <f t="shared" si="83"/>
        <v/>
      </c>
      <c r="W542" s="339" t="str">
        <f t="shared" si="87"/>
        <v/>
      </c>
      <c r="X542" s="341" t="str">
        <f t="shared" si="88"/>
        <v/>
      </c>
      <c r="Y542" s="277"/>
      <c r="AR542" t="str">
        <f t="shared" si="89"/>
        <v/>
      </c>
      <c r="AS542" t="str">
        <f t="shared" si="90"/>
        <v/>
      </c>
    </row>
    <row r="543" spans="1:45">
      <c r="A543" s="294"/>
      <c r="B543" s="295"/>
      <c r="C543" s="296"/>
      <c r="D543" s="296"/>
      <c r="E543" s="296"/>
      <c r="F543" s="296"/>
      <c r="G543" s="297"/>
      <c r="H543" s="303"/>
      <c r="I543" s="298"/>
      <c r="J543" s="298"/>
      <c r="K543" s="299"/>
      <c r="L543" s="304"/>
      <c r="M543" s="300"/>
      <c r="N543" s="301"/>
      <c r="P543" s="193" t="str">
        <f>IF(R543 = "", "", COUNT(R$4:$R543))</f>
        <v/>
      </c>
      <c r="Q543" s="193" t="str">
        <f t="shared" si="81"/>
        <v/>
      </c>
      <c r="R543" s="194" t="str">
        <f t="shared" si="82"/>
        <v/>
      </c>
      <c r="S543" s="195" t="str">
        <f t="shared" si="84"/>
        <v/>
      </c>
      <c r="T543" s="196" t="str">
        <f t="shared" si="85"/>
        <v/>
      </c>
      <c r="U543" s="197" t="str">
        <f t="shared" si="86"/>
        <v/>
      </c>
      <c r="V543" s="198" t="str">
        <f t="shared" si="83"/>
        <v/>
      </c>
      <c r="W543" s="339" t="str">
        <f t="shared" si="87"/>
        <v/>
      </c>
      <c r="X543" s="341" t="str">
        <f t="shared" si="88"/>
        <v/>
      </c>
      <c r="Y543" s="277"/>
      <c r="AR543" t="str">
        <f t="shared" si="89"/>
        <v/>
      </c>
      <c r="AS543" t="str">
        <f t="shared" si="90"/>
        <v/>
      </c>
    </row>
    <row r="544" spans="1:45">
      <c r="A544" s="294"/>
      <c r="B544" s="295"/>
      <c r="C544" s="296"/>
      <c r="D544" s="296"/>
      <c r="E544" s="296"/>
      <c r="F544" s="296"/>
      <c r="G544" s="297"/>
      <c r="H544" s="303"/>
      <c r="I544" s="298"/>
      <c r="J544" s="298"/>
      <c r="K544" s="299"/>
      <c r="L544" s="304"/>
      <c r="M544" s="300"/>
      <c r="N544" s="301"/>
      <c r="P544" s="193" t="str">
        <f>IF(R544 = "", "", COUNT(R$4:$R544))</f>
        <v/>
      </c>
      <c r="Q544" s="193" t="str">
        <f t="shared" si="81"/>
        <v/>
      </c>
      <c r="R544" s="194" t="str">
        <f t="shared" si="82"/>
        <v/>
      </c>
      <c r="S544" s="195" t="str">
        <f t="shared" si="84"/>
        <v/>
      </c>
      <c r="T544" s="196" t="str">
        <f t="shared" si="85"/>
        <v/>
      </c>
      <c r="U544" s="197" t="str">
        <f t="shared" si="86"/>
        <v/>
      </c>
      <c r="V544" s="198" t="str">
        <f t="shared" si="83"/>
        <v/>
      </c>
      <c r="W544" s="339" t="str">
        <f t="shared" si="87"/>
        <v/>
      </c>
      <c r="X544" s="341" t="str">
        <f t="shared" si="88"/>
        <v/>
      </c>
      <c r="Y544" s="277"/>
      <c r="AR544" t="str">
        <f t="shared" si="89"/>
        <v/>
      </c>
      <c r="AS544" t="str">
        <f t="shared" si="90"/>
        <v/>
      </c>
    </row>
    <row r="545" spans="1:45">
      <c r="A545" s="294"/>
      <c r="B545" s="295"/>
      <c r="C545" s="296"/>
      <c r="D545" s="296"/>
      <c r="E545" s="296"/>
      <c r="F545" s="296"/>
      <c r="G545" s="297"/>
      <c r="H545" s="303"/>
      <c r="I545" s="298"/>
      <c r="J545" s="298"/>
      <c r="K545" s="299"/>
      <c r="L545" s="304"/>
      <c r="M545" s="300"/>
      <c r="N545" s="301"/>
      <c r="P545" s="193" t="str">
        <f>IF(R545 = "", "", COUNT(R$4:$R545))</f>
        <v/>
      </c>
      <c r="Q545" s="193" t="str">
        <f t="shared" si="81"/>
        <v/>
      </c>
      <c r="R545" s="194" t="str">
        <f t="shared" si="82"/>
        <v/>
      </c>
      <c r="S545" s="195" t="str">
        <f t="shared" si="84"/>
        <v/>
      </c>
      <c r="T545" s="196" t="str">
        <f t="shared" si="85"/>
        <v/>
      </c>
      <c r="U545" s="197" t="str">
        <f t="shared" si="86"/>
        <v/>
      </c>
      <c r="V545" s="198" t="str">
        <f t="shared" si="83"/>
        <v/>
      </c>
      <c r="W545" s="339" t="str">
        <f t="shared" si="87"/>
        <v/>
      </c>
      <c r="X545" s="341" t="str">
        <f t="shared" si="88"/>
        <v/>
      </c>
      <c r="Y545" s="277"/>
      <c r="AR545" t="str">
        <f t="shared" si="89"/>
        <v/>
      </c>
      <c r="AS545" t="str">
        <f t="shared" si="90"/>
        <v/>
      </c>
    </row>
    <row r="546" spans="1:45">
      <c r="A546" s="294"/>
      <c r="B546" s="295"/>
      <c r="C546" s="296"/>
      <c r="D546" s="296"/>
      <c r="E546" s="296"/>
      <c r="F546" s="296"/>
      <c r="G546" s="297"/>
      <c r="H546" s="303"/>
      <c r="I546" s="298"/>
      <c r="J546" s="298"/>
      <c r="K546" s="299"/>
      <c r="L546" s="304"/>
      <c r="M546" s="300"/>
      <c r="N546" s="301"/>
      <c r="P546" s="193" t="str">
        <f>IF(R546 = "", "", COUNT(R$4:$R546))</f>
        <v/>
      </c>
      <c r="Q546" s="193" t="str">
        <f t="shared" si="81"/>
        <v/>
      </c>
      <c r="R546" s="194" t="str">
        <f t="shared" si="82"/>
        <v/>
      </c>
      <c r="S546" s="195" t="str">
        <f t="shared" si="84"/>
        <v/>
      </c>
      <c r="T546" s="196" t="str">
        <f t="shared" si="85"/>
        <v/>
      </c>
      <c r="U546" s="197" t="str">
        <f t="shared" si="86"/>
        <v/>
      </c>
      <c r="V546" s="198" t="str">
        <f t="shared" si="83"/>
        <v/>
      </c>
      <c r="W546" s="339" t="str">
        <f t="shared" si="87"/>
        <v/>
      </c>
      <c r="X546" s="341" t="str">
        <f t="shared" si="88"/>
        <v/>
      </c>
      <c r="Y546" s="277"/>
      <c r="AR546" t="str">
        <f t="shared" si="89"/>
        <v/>
      </c>
      <c r="AS546" t="str">
        <f t="shared" si="90"/>
        <v/>
      </c>
    </row>
    <row r="547" spans="1:45">
      <c r="A547" s="294"/>
      <c r="B547" s="295"/>
      <c r="C547" s="296"/>
      <c r="D547" s="296"/>
      <c r="E547" s="296"/>
      <c r="F547" s="296"/>
      <c r="G547" s="297"/>
      <c r="H547" s="303"/>
      <c r="I547" s="298"/>
      <c r="J547" s="298"/>
      <c r="K547" s="299"/>
      <c r="L547" s="304"/>
      <c r="M547" s="300"/>
      <c r="N547" s="301"/>
      <c r="P547" s="193" t="str">
        <f>IF(R547 = "", "", COUNT(R$4:$R547))</f>
        <v/>
      </c>
      <c r="Q547" s="193" t="str">
        <f t="shared" si="81"/>
        <v/>
      </c>
      <c r="R547" s="194" t="str">
        <f t="shared" si="82"/>
        <v/>
      </c>
      <c r="S547" s="195" t="str">
        <f t="shared" si="84"/>
        <v/>
      </c>
      <c r="T547" s="196" t="str">
        <f t="shared" si="85"/>
        <v/>
      </c>
      <c r="U547" s="197" t="str">
        <f t="shared" si="86"/>
        <v/>
      </c>
      <c r="V547" s="198" t="str">
        <f t="shared" si="83"/>
        <v/>
      </c>
      <c r="W547" s="339" t="str">
        <f t="shared" si="87"/>
        <v/>
      </c>
      <c r="X547" s="341" t="str">
        <f t="shared" si="88"/>
        <v/>
      </c>
      <c r="Y547" s="277"/>
      <c r="AR547" t="str">
        <f t="shared" si="89"/>
        <v/>
      </c>
      <c r="AS547" t="str">
        <f t="shared" si="90"/>
        <v/>
      </c>
    </row>
    <row r="548" spans="1:45">
      <c r="A548" s="294"/>
      <c r="B548" s="295"/>
      <c r="C548" s="296"/>
      <c r="D548" s="296"/>
      <c r="E548" s="296"/>
      <c r="F548" s="296"/>
      <c r="G548" s="297"/>
      <c r="H548" s="303"/>
      <c r="I548" s="298"/>
      <c r="J548" s="298"/>
      <c r="K548" s="299"/>
      <c r="L548" s="304"/>
      <c r="M548" s="300"/>
      <c r="N548" s="301"/>
      <c r="P548" s="193" t="str">
        <f>IF(R548 = "", "", COUNT(R$4:$R548))</f>
        <v/>
      </c>
      <c r="Q548" s="193" t="str">
        <f t="shared" si="81"/>
        <v/>
      </c>
      <c r="R548" s="194" t="str">
        <f t="shared" si="82"/>
        <v/>
      </c>
      <c r="S548" s="195" t="str">
        <f t="shared" si="84"/>
        <v/>
      </c>
      <c r="T548" s="196" t="str">
        <f t="shared" si="85"/>
        <v/>
      </c>
      <c r="U548" s="197" t="str">
        <f t="shared" si="86"/>
        <v/>
      </c>
      <c r="V548" s="198" t="str">
        <f t="shared" si="83"/>
        <v/>
      </c>
      <c r="W548" s="339" t="str">
        <f t="shared" si="87"/>
        <v/>
      </c>
      <c r="X548" s="341" t="str">
        <f t="shared" si="88"/>
        <v/>
      </c>
      <c r="Y548" s="277"/>
      <c r="AR548" t="str">
        <f t="shared" si="89"/>
        <v/>
      </c>
      <c r="AS548" t="str">
        <f t="shared" si="90"/>
        <v/>
      </c>
    </row>
    <row r="549" spans="1:45">
      <c r="A549" s="294"/>
      <c r="B549" s="295"/>
      <c r="C549" s="296"/>
      <c r="D549" s="296"/>
      <c r="E549" s="296"/>
      <c r="F549" s="296"/>
      <c r="G549" s="297"/>
      <c r="H549" s="303"/>
      <c r="I549" s="298"/>
      <c r="J549" s="298"/>
      <c r="K549" s="299"/>
      <c r="L549" s="304"/>
      <c r="M549" s="300"/>
      <c r="N549" s="301"/>
      <c r="P549" s="193" t="str">
        <f>IF(R549 = "", "", COUNT(R$4:$R549))</f>
        <v/>
      </c>
      <c r="Q549" s="193" t="str">
        <f t="shared" si="81"/>
        <v/>
      </c>
      <c r="R549" s="194" t="str">
        <f t="shared" si="82"/>
        <v/>
      </c>
      <c r="S549" s="195" t="str">
        <f t="shared" si="84"/>
        <v/>
      </c>
      <c r="T549" s="196" t="str">
        <f t="shared" si="85"/>
        <v/>
      </c>
      <c r="U549" s="197" t="str">
        <f t="shared" si="86"/>
        <v/>
      </c>
      <c r="V549" s="198" t="str">
        <f t="shared" si="83"/>
        <v/>
      </c>
      <c r="W549" s="339" t="str">
        <f t="shared" si="87"/>
        <v/>
      </c>
      <c r="X549" s="341" t="str">
        <f t="shared" si="88"/>
        <v/>
      </c>
      <c r="Y549" s="277"/>
      <c r="AR549" t="str">
        <f t="shared" si="89"/>
        <v/>
      </c>
      <c r="AS549" t="str">
        <f t="shared" si="90"/>
        <v/>
      </c>
    </row>
    <row r="550" spans="1:45">
      <c r="A550" s="294"/>
      <c r="B550" s="295"/>
      <c r="C550" s="296"/>
      <c r="D550" s="296"/>
      <c r="E550" s="296"/>
      <c r="F550" s="296"/>
      <c r="G550" s="297"/>
      <c r="H550" s="303"/>
      <c r="I550" s="298"/>
      <c r="J550" s="298"/>
      <c r="K550" s="299"/>
      <c r="L550" s="304"/>
      <c r="M550" s="300"/>
      <c r="N550" s="301"/>
      <c r="P550" s="193" t="str">
        <f>IF(R550 = "", "", COUNT(R$4:$R550))</f>
        <v/>
      </c>
      <c r="Q550" s="193" t="str">
        <f t="shared" si="81"/>
        <v/>
      </c>
      <c r="R550" s="194" t="str">
        <f t="shared" si="82"/>
        <v/>
      </c>
      <c r="S550" s="195" t="str">
        <f t="shared" si="84"/>
        <v/>
      </c>
      <c r="T550" s="196" t="str">
        <f t="shared" si="85"/>
        <v/>
      </c>
      <c r="U550" s="197" t="str">
        <f t="shared" si="86"/>
        <v/>
      </c>
      <c r="V550" s="198" t="str">
        <f t="shared" si="83"/>
        <v/>
      </c>
      <c r="W550" s="339" t="str">
        <f t="shared" si="87"/>
        <v/>
      </c>
      <c r="X550" s="341" t="str">
        <f t="shared" si="88"/>
        <v/>
      </c>
      <c r="Y550" s="277"/>
      <c r="AR550" t="str">
        <f t="shared" si="89"/>
        <v/>
      </c>
      <c r="AS550" t="str">
        <f t="shared" si="90"/>
        <v/>
      </c>
    </row>
    <row r="551" spans="1:45">
      <c r="A551" s="294"/>
      <c r="B551" s="295"/>
      <c r="C551" s="296"/>
      <c r="D551" s="296"/>
      <c r="E551" s="296"/>
      <c r="F551" s="296"/>
      <c r="G551" s="297"/>
      <c r="H551" s="303"/>
      <c r="I551" s="298"/>
      <c r="J551" s="298"/>
      <c r="K551" s="299"/>
      <c r="L551" s="304"/>
      <c r="M551" s="300"/>
      <c r="N551" s="301"/>
      <c r="P551" s="193" t="str">
        <f>IF(R551 = "", "", COUNT(R$4:$R551))</f>
        <v/>
      </c>
      <c r="Q551" s="193" t="str">
        <f t="shared" si="81"/>
        <v/>
      </c>
      <c r="R551" s="194" t="str">
        <f t="shared" si="82"/>
        <v/>
      </c>
      <c r="S551" s="195" t="str">
        <f t="shared" si="84"/>
        <v/>
      </c>
      <c r="T551" s="196" t="str">
        <f t="shared" si="85"/>
        <v/>
      </c>
      <c r="U551" s="197" t="str">
        <f t="shared" si="86"/>
        <v/>
      </c>
      <c r="V551" s="198" t="str">
        <f t="shared" si="83"/>
        <v/>
      </c>
      <c r="W551" s="339" t="str">
        <f t="shared" si="87"/>
        <v/>
      </c>
      <c r="X551" s="341" t="str">
        <f t="shared" si="88"/>
        <v/>
      </c>
      <c r="Y551" s="277"/>
      <c r="AR551" t="str">
        <f t="shared" si="89"/>
        <v/>
      </c>
      <c r="AS551" t="str">
        <f t="shared" si="90"/>
        <v/>
      </c>
    </row>
    <row r="552" spans="1:45">
      <c r="A552" s="294"/>
      <c r="B552" s="295"/>
      <c r="C552" s="296"/>
      <c r="D552" s="296"/>
      <c r="E552" s="296"/>
      <c r="F552" s="296"/>
      <c r="G552" s="297"/>
      <c r="H552" s="303"/>
      <c r="I552" s="298"/>
      <c r="J552" s="298"/>
      <c r="K552" s="299"/>
      <c r="L552" s="304"/>
      <c r="M552" s="300"/>
      <c r="N552" s="301"/>
      <c r="P552" s="193" t="str">
        <f>IF(R552 = "", "", COUNT(R$4:$R552))</f>
        <v/>
      </c>
      <c r="Q552" s="193" t="str">
        <f t="shared" si="81"/>
        <v/>
      </c>
      <c r="R552" s="194" t="str">
        <f t="shared" si="82"/>
        <v/>
      </c>
      <c r="S552" s="195" t="str">
        <f t="shared" si="84"/>
        <v/>
      </c>
      <c r="T552" s="196" t="str">
        <f t="shared" si="85"/>
        <v/>
      </c>
      <c r="U552" s="197" t="str">
        <f t="shared" si="86"/>
        <v/>
      </c>
      <c r="V552" s="198" t="str">
        <f t="shared" si="83"/>
        <v/>
      </c>
      <c r="W552" s="339" t="str">
        <f t="shared" si="87"/>
        <v/>
      </c>
      <c r="X552" s="341" t="str">
        <f t="shared" si="88"/>
        <v/>
      </c>
      <c r="Y552" s="277"/>
      <c r="AR552" t="str">
        <f t="shared" si="89"/>
        <v/>
      </c>
      <c r="AS552" t="str">
        <f t="shared" si="90"/>
        <v/>
      </c>
    </row>
    <row r="553" spans="1:45">
      <c r="A553" s="294"/>
      <c r="B553" s="295"/>
      <c r="C553" s="296"/>
      <c r="D553" s="296"/>
      <c r="E553" s="296"/>
      <c r="F553" s="296"/>
      <c r="G553" s="297"/>
      <c r="H553" s="303"/>
      <c r="I553" s="298"/>
      <c r="J553" s="298"/>
      <c r="K553" s="299"/>
      <c r="L553" s="304"/>
      <c r="M553" s="300"/>
      <c r="N553" s="301"/>
      <c r="P553" s="193" t="str">
        <f>IF(R553 = "", "", COUNT(R$4:$R553))</f>
        <v/>
      </c>
      <c r="Q553" s="193" t="str">
        <f t="shared" si="81"/>
        <v/>
      </c>
      <c r="R553" s="194" t="str">
        <f t="shared" si="82"/>
        <v/>
      </c>
      <c r="S553" s="195" t="str">
        <f t="shared" si="84"/>
        <v/>
      </c>
      <c r="T553" s="196" t="str">
        <f t="shared" si="85"/>
        <v/>
      </c>
      <c r="U553" s="197" t="str">
        <f t="shared" si="86"/>
        <v/>
      </c>
      <c r="V553" s="198" t="str">
        <f t="shared" si="83"/>
        <v/>
      </c>
      <c r="W553" s="339" t="str">
        <f t="shared" si="87"/>
        <v/>
      </c>
      <c r="X553" s="341" t="str">
        <f t="shared" si="88"/>
        <v/>
      </c>
      <c r="Y553" s="277"/>
      <c r="AR553" t="str">
        <f t="shared" si="89"/>
        <v/>
      </c>
      <c r="AS553" t="str">
        <f t="shared" si="90"/>
        <v/>
      </c>
    </row>
    <row r="554" spans="1:45">
      <c r="A554" s="294"/>
      <c r="B554" s="295"/>
      <c r="C554" s="296"/>
      <c r="D554" s="296"/>
      <c r="E554" s="296"/>
      <c r="F554" s="296"/>
      <c r="G554" s="297"/>
      <c r="H554" s="303"/>
      <c r="I554" s="298"/>
      <c r="J554" s="298"/>
      <c r="K554" s="299"/>
      <c r="L554" s="304"/>
      <c r="M554" s="300"/>
      <c r="N554" s="301"/>
      <c r="P554" s="193" t="str">
        <f>IF(R554 = "", "", COUNT(R$4:$R554))</f>
        <v/>
      </c>
      <c r="Q554" s="193" t="str">
        <f t="shared" si="81"/>
        <v/>
      </c>
      <c r="R554" s="194" t="str">
        <f t="shared" si="82"/>
        <v/>
      </c>
      <c r="S554" s="195" t="str">
        <f t="shared" si="84"/>
        <v/>
      </c>
      <c r="T554" s="196" t="str">
        <f t="shared" si="85"/>
        <v/>
      </c>
      <c r="U554" s="197" t="str">
        <f t="shared" si="86"/>
        <v/>
      </c>
      <c r="V554" s="198" t="str">
        <f t="shared" si="83"/>
        <v/>
      </c>
      <c r="W554" s="339" t="str">
        <f t="shared" si="87"/>
        <v/>
      </c>
      <c r="X554" s="341" t="str">
        <f t="shared" si="88"/>
        <v/>
      </c>
      <c r="Y554" s="277"/>
      <c r="AR554" t="str">
        <f t="shared" si="89"/>
        <v/>
      </c>
      <c r="AS554" t="str">
        <f t="shared" si="90"/>
        <v/>
      </c>
    </row>
    <row r="555" spans="1:45">
      <c r="A555" s="294"/>
      <c r="B555" s="295"/>
      <c r="C555" s="296"/>
      <c r="D555" s="296"/>
      <c r="E555" s="296"/>
      <c r="F555" s="296"/>
      <c r="G555" s="297"/>
      <c r="H555" s="303"/>
      <c r="I555" s="298"/>
      <c r="J555" s="298"/>
      <c r="K555" s="299"/>
      <c r="L555" s="304"/>
      <c r="M555" s="300"/>
      <c r="N555" s="301"/>
      <c r="P555" s="193" t="str">
        <f>IF(R555 = "", "", COUNT(R$4:$R555))</f>
        <v/>
      </c>
      <c r="Q555" s="193" t="str">
        <f t="shared" si="81"/>
        <v/>
      </c>
      <c r="R555" s="194" t="str">
        <f t="shared" si="82"/>
        <v/>
      </c>
      <c r="S555" s="195" t="str">
        <f t="shared" si="84"/>
        <v/>
      </c>
      <c r="T555" s="196" t="str">
        <f t="shared" si="85"/>
        <v/>
      </c>
      <c r="U555" s="197" t="str">
        <f t="shared" si="86"/>
        <v/>
      </c>
      <c r="V555" s="198" t="str">
        <f t="shared" si="83"/>
        <v/>
      </c>
      <c r="W555" s="339" t="str">
        <f t="shared" si="87"/>
        <v/>
      </c>
      <c r="X555" s="341" t="str">
        <f t="shared" si="88"/>
        <v/>
      </c>
      <c r="Y555" s="277"/>
      <c r="AR555" t="str">
        <f t="shared" si="89"/>
        <v/>
      </c>
      <c r="AS555" t="str">
        <f t="shared" si="90"/>
        <v/>
      </c>
    </row>
    <row r="556" spans="1:45">
      <c r="A556" s="294"/>
      <c r="B556" s="295"/>
      <c r="C556" s="296"/>
      <c r="D556" s="296"/>
      <c r="E556" s="296"/>
      <c r="F556" s="296"/>
      <c r="G556" s="297"/>
      <c r="H556" s="303"/>
      <c r="I556" s="298"/>
      <c r="J556" s="298"/>
      <c r="K556" s="299"/>
      <c r="L556" s="304"/>
      <c r="M556" s="300"/>
      <c r="N556" s="301"/>
      <c r="P556" s="193" t="str">
        <f>IF(R556 = "", "", COUNT(R$4:$R556))</f>
        <v/>
      </c>
      <c r="Q556" s="193" t="str">
        <f t="shared" si="81"/>
        <v/>
      </c>
      <c r="R556" s="194" t="str">
        <f t="shared" si="82"/>
        <v/>
      </c>
      <c r="S556" s="195" t="str">
        <f t="shared" si="84"/>
        <v/>
      </c>
      <c r="T556" s="196" t="str">
        <f t="shared" si="85"/>
        <v/>
      </c>
      <c r="U556" s="197" t="str">
        <f t="shared" si="86"/>
        <v/>
      </c>
      <c r="V556" s="198" t="str">
        <f t="shared" si="83"/>
        <v/>
      </c>
      <c r="W556" s="339" t="str">
        <f t="shared" si="87"/>
        <v/>
      </c>
      <c r="X556" s="341" t="str">
        <f t="shared" si="88"/>
        <v/>
      </c>
      <c r="Y556" s="277"/>
      <c r="AR556" t="str">
        <f t="shared" si="89"/>
        <v/>
      </c>
      <c r="AS556" t="str">
        <f t="shared" si="90"/>
        <v/>
      </c>
    </row>
    <row r="557" spans="1:45">
      <c r="A557" s="294"/>
      <c r="B557" s="295"/>
      <c r="C557" s="296"/>
      <c r="D557" s="296"/>
      <c r="E557" s="296"/>
      <c r="F557" s="296"/>
      <c r="G557" s="297"/>
      <c r="H557" s="303"/>
      <c r="I557" s="298"/>
      <c r="J557" s="298"/>
      <c r="K557" s="299"/>
      <c r="L557" s="304"/>
      <c r="M557" s="300"/>
      <c r="N557" s="301"/>
      <c r="P557" s="193" t="str">
        <f>IF(R557 = "", "", COUNT(R$4:$R557))</f>
        <v/>
      </c>
      <c r="Q557" s="193" t="str">
        <f t="shared" si="81"/>
        <v/>
      </c>
      <c r="R557" s="194" t="str">
        <f t="shared" si="82"/>
        <v/>
      </c>
      <c r="S557" s="195" t="str">
        <f t="shared" si="84"/>
        <v/>
      </c>
      <c r="T557" s="196" t="str">
        <f t="shared" si="85"/>
        <v/>
      </c>
      <c r="U557" s="197" t="str">
        <f t="shared" si="86"/>
        <v/>
      </c>
      <c r="V557" s="198" t="str">
        <f t="shared" si="83"/>
        <v/>
      </c>
      <c r="W557" s="339" t="str">
        <f t="shared" si="87"/>
        <v/>
      </c>
      <c r="X557" s="341" t="str">
        <f t="shared" si="88"/>
        <v/>
      </c>
      <c r="Y557" s="277"/>
      <c r="AR557" t="str">
        <f t="shared" si="89"/>
        <v/>
      </c>
      <c r="AS557" t="str">
        <f t="shared" si="90"/>
        <v/>
      </c>
    </row>
    <row r="558" spans="1:45">
      <c r="A558" s="294"/>
      <c r="B558" s="295"/>
      <c r="C558" s="296"/>
      <c r="D558" s="296"/>
      <c r="E558" s="296"/>
      <c r="F558" s="296"/>
      <c r="G558" s="297"/>
      <c r="H558" s="303"/>
      <c r="I558" s="298"/>
      <c r="J558" s="298"/>
      <c r="K558" s="299"/>
      <c r="L558" s="304"/>
      <c r="M558" s="300"/>
      <c r="N558" s="301"/>
      <c r="P558" s="193" t="str">
        <f>IF(R558 = "", "", COUNT(R$4:$R558))</f>
        <v/>
      </c>
      <c r="Q558" s="193" t="str">
        <f t="shared" si="81"/>
        <v/>
      </c>
      <c r="R558" s="194" t="str">
        <f t="shared" si="82"/>
        <v/>
      </c>
      <c r="S558" s="195" t="str">
        <f t="shared" si="84"/>
        <v/>
      </c>
      <c r="T558" s="196" t="str">
        <f t="shared" si="85"/>
        <v/>
      </c>
      <c r="U558" s="197" t="str">
        <f t="shared" si="86"/>
        <v/>
      </c>
      <c r="V558" s="198" t="str">
        <f t="shared" si="83"/>
        <v/>
      </c>
      <c r="W558" s="339" t="str">
        <f t="shared" si="87"/>
        <v/>
      </c>
      <c r="X558" s="341" t="str">
        <f t="shared" si="88"/>
        <v/>
      </c>
      <c r="Y558" s="277"/>
      <c r="AR558" t="str">
        <f t="shared" si="89"/>
        <v/>
      </c>
      <c r="AS558" t="str">
        <f t="shared" si="90"/>
        <v/>
      </c>
    </row>
    <row r="559" spans="1:45">
      <c r="A559" s="294"/>
      <c r="B559" s="295"/>
      <c r="C559" s="296"/>
      <c r="D559" s="296"/>
      <c r="E559" s="296"/>
      <c r="F559" s="296"/>
      <c r="G559" s="297"/>
      <c r="H559" s="303"/>
      <c r="I559" s="298"/>
      <c r="J559" s="298"/>
      <c r="K559" s="299"/>
      <c r="L559" s="304"/>
      <c r="M559" s="300"/>
      <c r="N559" s="301"/>
      <c r="P559" s="193" t="str">
        <f>IF(R559 = "", "", COUNT(R$4:$R559))</f>
        <v/>
      </c>
      <c r="Q559" s="193" t="str">
        <f t="shared" si="81"/>
        <v/>
      </c>
      <c r="R559" s="194" t="str">
        <f t="shared" si="82"/>
        <v/>
      </c>
      <c r="S559" s="195" t="str">
        <f t="shared" si="84"/>
        <v/>
      </c>
      <c r="T559" s="196" t="str">
        <f t="shared" si="85"/>
        <v/>
      </c>
      <c r="U559" s="197" t="str">
        <f t="shared" si="86"/>
        <v/>
      </c>
      <c r="V559" s="198" t="str">
        <f t="shared" si="83"/>
        <v/>
      </c>
      <c r="W559" s="339" t="str">
        <f t="shared" si="87"/>
        <v/>
      </c>
      <c r="X559" s="341" t="str">
        <f t="shared" si="88"/>
        <v/>
      </c>
      <c r="Y559" s="277"/>
      <c r="AR559" t="str">
        <f t="shared" si="89"/>
        <v/>
      </c>
      <c r="AS559" t="str">
        <f t="shared" si="90"/>
        <v/>
      </c>
    </row>
    <row r="560" spans="1:45">
      <c r="A560" s="294"/>
      <c r="B560" s="295"/>
      <c r="C560" s="296"/>
      <c r="D560" s="296"/>
      <c r="E560" s="296"/>
      <c r="F560" s="296"/>
      <c r="G560" s="297"/>
      <c r="H560" s="303"/>
      <c r="I560" s="298"/>
      <c r="J560" s="298"/>
      <c r="K560" s="299"/>
      <c r="L560" s="304"/>
      <c r="M560" s="300"/>
      <c r="N560" s="301"/>
      <c r="P560" s="193" t="str">
        <f>IF(R560 = "", "", COUNT(R$4:$R560))</f>
        <v/>
      </c>
      <c r="Q560" s="193" t="str">
        <f t="shared" si="81"/>
        <v/>
      </c>
      <c r="R560" s="194" t="str">
        <f t="shared" si="82"/>
        <v/>
      </c>
      <c r="S560" s="195" t="str">
        <f t="shared" si="84"/>
        <v/>
      </c>
      <c r="T560" s="196" t="str">
        <f t="shared" si="85"/>
        <v/>
      </c>
      <c r="U560" s="197" t="str">
        <f t="shared" si="86"/>
        <v/>
      </c>
      <c r="V560" s="198" t="str">
        <f t="shared" si="83"/>
        <v/>
      </c>
      <c r="W560" s="339" t="str">
        <f t="shared" si="87"/>
        <v/>
      </c>
      <c r="X560" s="341" t="str">
        <f t="shared" si="88"/>
        <v/>
      </c>
      <c r="Y560" s="277"/>
      <c r="AR560" t="str">
        <f t="shared" si="89"/>
        <v/>
      </c>
      <c r="AS560" t="str">
        <f t="shared" si="90"/>
        <v/>
      </c>
    </row>
    <row r="561" spans="1:45">
      <c r="A561" s="294"/>
      <c r="B561" s="295"/>
      <c r="C561" s="296"/>
      <c r="D561" s="296"/>
      <c r="E561" s="296"/>
      <c r="F561" s="296"/>
      <c r="G561" s="297"/>
      <c r="H561" s="303"/>
      <c r="I561" s="298"/>
      <c r="J561" s="298"/>
      <c r="K561" s="299"/>
      <c r="L561" s="304"/>
      <c r="M561" s="300"/>
      <c r="N561" s="301"/>
      <c r="P561" s="193" t="str">
        <f>IF(R561 = "", "", COUNT(R$4:$R561))</f>
        <v/>
      </c>
      <c r="Q561" s="193" t="str">
        <f t="shared" si="81"/>
        <v/>
      </c>
      <c r="R561" s="194" t="str">
        <f t="shared" si="82"/>
        <v/>
      </c>
      <c r="S561" s="195" t="str">
        <f t="shared" si="84"/>
        <v/>
      </c>
      <c r="T561" s="196" t="str">
        <f t="shared" si="85"/>
        <v/>
      </c>
      <c r="U561" s="197" t="str">
        <f t="shared" si="86"/>
        <v/>
      </c>
      <c r="V561" s="198" t="str">
        <f t="shared" si="83"/>
        <v/>
      </c>
      <c r="W561" s="339" t="str">
        <f t="shared" si="87"/>
        <v/>
      </c>
      <c r="X561" s="341" t="str">
        <f t="shared" si="88"/>
        <v/>
      </c>
      <c r="Y561" s="277"/>
      <c r="AR561" t="str">
        <f t="shared" si="89"/>
        <v/>
      </c>
      <c r="AS561" t="str">
        <f t="shared" si="90"/>
        <v/>
      </c>
    </row>
    <row r="562" spans="1:45">
      <c r="A562" s="294"/>
      <c r="B562" s="295"/>
      <c r="C562" s="296"/>
      <c r="D562" s="296"/>
      <c r="E562" s="296"/>
      <c r="F562" s="296"/>
      <c r="G562" s="297"/>
      <c r="H562" s="303"/>
      <c r="I562" s="298"/>
      <c r="J562" s="298"/>
      <c r="K562" s="299"/>
      <c r="L562" s="304"/>
      <c r="M562" s="300"/>
      <c r="N562" s="301"/>
      <c r="P562" s="193" t="str">
        <f>IF(R562 = "", "", COUNT(R$4:$R562))</f>
        <v/>
      </c>
      <c r="Q562" s="193" t="str">
        <f t="shared" si="81"/>
        <v/>
      </c>
      <c r="R562" s="194" t="str">
        <f t="shared" si="82"/>
        <v/>
      </c>
      <c r="S562" s="195" t="str">
        <f t="shared" si="84"/>
        <v/>
      </c>
      <c r="T562" s="196" t="str">
        <f t="shared" si="85"/>
        <v/>
      </c>
      <c r="U562" s="197" t="str">
        <f t="shared" si="86"/>
        <v/>
      </c>
      <c r="V562" s="198" t="str">
        <f t="shared" si="83"/>
        <v/>
      </c>
      <c r="W562" s="339" t="str">
        <f t="shared" si="87"/>
        <v/>
      </c>
      <c r="X562" s="341" t="str">
        <f t="shared" si="88"/>
        <v/>
      </c>
      <c r="Y562" s="277"/>
      <c r="AR562" t="str">
        <f t="shared" si="89"/>
        <v/>
      </c>
      <c r="AS562" t="str">
        <f t="shared" si="90"/>
        <v/>
      </c>
    </row>
    <row r="563" spans="1:45">
      <c r="A563" s="294"/>
      <c r="B563" s="295"/>
      <c r="C563" s="296"/>
      <c r="D563" s="296"/>
      <c r="E563" s="296"/>
      <c r="F563" s="296"/>
      <c r="G563" s="297"/>
      <c r="H563" s="303"/>
      <c r="I563" s="298"/>
      <c r="J563" s="298"/>
      <c r="K563" s="299"/>
      <c r="L563" s="304"/>
      <c r="M563" s="300"/>
      <c r="N563" s="301"/>
      <c r="P563" s="193" t="str">
        <f>IF(R563 = "", "", COUNT(R$4:$R563))</f>
        <v/>
      </c>
      <c r="Q563" s="193" t="str">
        <f t="shared" si="81"/>
        <v/>
      </c>
      <c r="R563" s="194" t="str">
        <f t="shared" si="82"/>
        <v/>
      </c>
      <c r="S563" s="195" t="str">
        <f t="shared" si="84"/>
        <v/>
      </c>
      <c r="T563" s="196" t="str">
        <f t="shared" si="85"/>
        <v/>
      </c>
      <c r="U563" s="197" t="str">
        <f t="shared" si="86"/>
        <v/>
      </c>
      <c r="V563" s="198" t="str">
        <f t="shared" si="83"/>
        <v/>
      </c>
      <c r="W563" s="339" t="str">
        <f t="shared" si="87"/>
        <v/>
      </c>
      <c r="X563" s="341" t="str">
        <f t="shared" si="88"/>
        <v/>
      </c>
      <c r="Y563" s="277"/>
      <c r="AR563" t="str">
        <f t="shared" si="89"/>
        <v/>
      </c>
      <c r="AS563" t="str">
        <f t="shared" si="90"/>
        <v/>
      </c>
    </row>
    <row r="564" spans="1:45">
      <c r="A564" s="294"/>
      <c r="B564" s="295"/>
      <c r="C564" s="296"/>
      <c r="D564" s="296"/>
      <c r="E564" s="296"/>
      <c r="F564" s="296"/>
      <c r="G564" s="297"/>
      <c r="H564" s="303"/>
      <c r="I564" s="298"/>
      <c r="J564" s="298"/>
      <c r="K564" s="299"/>
      <c r="L564" s="304"/>
      <c r="M564" s="300"/>
      <c r="N564" s="301"/>
      <c r="P564" s="193" t="str">
        <f>IF(R564 = "", "", COUNT(R$4:$R564))</f>
        <v/>
      </c>
      <c r="Q564" s="193" t="str">
        <f t="shared" si="81"/>
        <v/>
      </c>
      <c r="R564" s="194" t="str">
        <f t="shared" si="82"/>
        <v/>
      </c>
      <c r="S564" s="195" t="str">
        <f t="shared" si="84"/>
        <v/>
      </c>
      <c r="T564" s="196" t="str">
        <f t="shared" si="85"/>
        <v/>
      </c>
      <c r="U564" s="197" t="str">
        <f t="shared" si="86"/>
        <v/>
      </c>
      <c r="V564" s="198" t="str">
        <f t="shared" si="83"/>
        <v/>
      </c>
      <c r="W564" s="339" t="str">
        <f t="shared" si="87"/>
        <v/>
      </c>
      <c r="X564" s="341" t="str">
        <f t="shared" si="88"/>
        <v/>
      </c>
      <c r="Y564" s="277"/>
      <c r="AR564" t="str">
        <f t="shared" si="89"/>
        <v/>
      </c>
      <c r="AS564" t="str">
        <f t="shared" si="90"/>
        <v/>
      </c>
    </row>
    <row r="565" spans="1:45">
      <c r="A565" s="294"/>
      <c r="B565" s="295"/>
      <c r="C565" s="296"/>
      <c r="D565" s="296"/>
      <c r="E565" s="296"/>
      <c r="F565" s="296"/>
      <c r="G565" s="297"/>
      <c r="H565" s="303"/>
      <c r="I565" s="298"/>
      <c r="J565" s="298"/>
      <c r="K565" s="299"/>
      <c r="L565" s="304"/>
      <c r="M565" s="300"/>
      <c r="N565" s="301"/>
      <c r="P565" s="193" t="str">
        <f>IF(R565 = "", "", COUNT(R$4:$R565))</f>
        <v/>
      </c>
      <c r="Q565" s="193" t="str">
        <f t="shared" si="81"/>
        <v/>
      </c>
      <c r="R565" s="194" t="str">
        <f t="shared" si="82"/>
        <v/>
      </c>
      <c r="S565" s="195" t="str">
        <f t="shared" si="84"/>
        <v/>
      </c>
      <c r="T565" s="196" t="str">
        <f t="shared" si="85"/>
        <v/>
      </c>
      <c r="U565" s="197" t="str">
        <f t="shared" si="86"/>
        <v/>
      </c>
      <c r="V565" s="198" t="str">
        <f t="shared" si="83"/>
        <v/>
      </c>
      <c r="W565" s="339" t="str">
        <f t="shared" si="87"/>
        <v/>
      </c>
      <c r="X565" s="341" t="str">
        <f t="shared" si="88"/>
        <v/>
      </c>
      <c r="Y565" s="277"/>
      <c r="AR565" t="str">
        <f t="shared" si="89"/>
        <v/>
      </c>
      <c r="AS565" t="str">
        <f t="shared" si="90"/>
        <v/>
      </c>
    </row>
    <row r="566" spans="1:45">
      <c r="A566" s="294"/>
      <c r="B566" s="295"/>
      <c r="C566" s="296"/>
      <c r="D566" s="296"/>
      <c r="E566" s="296"/>
      <c r="F566" s="296"/>
      <c r="G566" s="297"/>
      <c r="H566" s="303"/>
      <c r="I566" s="298"/>
      <c r="J566" s="298"/>
      <c r="K566" s="299"/>
      <c r="L566" s="304"/>
      <c r="M566" s="300"/>
      <c r="N566" s="301"/>
      <c r="P566" s="193" t="str">
        <f>IF(R566 = "", "", COUNT(R$4:$R566))</f>
        <v/>
      </c>
      <c r="Q566" s="193" t="str">
        <f t="shared" si="81"/>
        <v/>
      </c>
      <c r="R566" s="194" t="str">
        <f t="shared" si="82"/>
        <v/>
      </c>
      <c r="S566" s="195" t="str">
        <f t="shared" si="84"/>
        <v/>
      </c>
      <c r="T566" s="196" t="str">
        <f t="shared" si="85"/>
        <v/>
      </c>
      <c r="U566" s="197" t="str">
        <f t="shared" si="86"/>
        <v/>
      </c>
      <c r="V566" s="198" t="str">
        <f t="shared" si="83"/>
        <v/>
      </c>
      <c r="W566" s="339" t="str">
        <f t="shared" si="87"/>
        <v/>
      </c>
      <c r="X566" s="341" t="str">
        <f t="shared" si="88"/>
        <v/>
      </c>
      <c r="Y566" s="277"/>
      <c r="AR566" t="str">
        <f t="shared" si="89"/>
        <v/>
      </c>
      <c r="AS566" t="str">
        <f t="shared" si="90"/>
        <v/>
      </c>
    </row>
    <row r="567" spans="1:45">
      <c r="A567" s="294"/>
      <c r="B567" s="295"/>
      <c r="C567" s="296"/>
      <c r="D567" s="296"/>
      <c r="E567" s="296"/>
      <c r="F567" s="296"/>
      <c r="G567" s="297"/>
      <c r="H567" s="303"/>
      <c r="I567" s="298"/>
      <c r="J567" s="298"/>
      <c r="K567" s="299"/>
      <c r="L567" s="304"/>
      <c r="M567" s="300"/>
      <c r="N567" s="301"/>
      <c r="P567" s="193" t="str">
        <f>IF(R567 = "", "", COUNT(R$4:$R567))</f>
        <v/>
      </c>
      <c r="Q567" s="193" t="str">
        <f t="shared" si="81"/>
        <v/>
      </c>
      <c r="R567" s="194" t="str">
        <f t="shared" si="82"/>
        <v/>
      </c>
      <c r="S567" s="195" t="str">
        <f t="shared" si="84"/>
        <v/>
      </c>
      <c r="T567" s="196" t="str">
        <f t="shared" si="85"/>
        <v/>
      </c>
      <c r="U567" s="197" t="str">
        <f t="shared" si="86"/>
        <v/>
      </c>
      <c r="V567" s="198" t="str">
        <f t="shared" si="83"/>
        <v/>
      </c>
      <c r="W567" s="339" t="str">
        <f t="shared" si="87"/>
        <v/>
      </c>
      <c r="X567" s="341" t="str">
        <f t="shared" si="88"/>
        <v/>
      </c>
      <c r="Y567" s="277"/>
      <c r="AR567" t="str">
        <f t="shared" si="89"/>
        <v/>
      </c>
      <c r="AS567" t="str">
        <f t="shared" si="90"/>
        <v/>
      </c>
    </row>
    <row r="568" spans="1:45">
      <c r="A568" s="294"/>
      <c r="B568" s="295"/>
      <c r="C568" s="296"/>
      <c r="D568" s="296"/>
      <c r="E568" s="296"/>
      <c r="F568" s="296"/>
      <c r="G568" s="297"/>
      <c r="H568" s="303"/>
      <c r="I568" s="298"/>
      <c r="J568" s="298"/>
      <c r="K568" s="299"/>
      <c r="L568" s="304"/>
      <c r="M568" s="300"/>
      <c r="N568" s="301"/>
      <c r="P568" s="193" t="str">
        <f>IF(R568 = "", "", COUNT(R$4:$R568))</f>
        <v/>
      </c>
      <c r="Q568" s="193" t="str">
        <f t="shared" si="81"/>
        <v/>
      </c>
      <c r="R568" s="194" t="str">
        <f t="shared" si="82"/>
        <v/>
      </c>
      <c r="S568" s="195" t="str">
        <f t="shared" si="84"/>
        <v/>
      </c>
      <c r="T568" s="196" t="str">
        <f t="shared" si="85"/>
        <v/>
      </c>
      <c r="U568" s="197" t="str">
        <f t="shared" si="86"/>
        <v/>
      </c>
      <c r="V568" s="198" t="str">
        <f t="shared" si="83"/>
        <v/>
      </c>
      <c r="W568" s="339" t="str">
        <f t="shared" si="87"/>
        <v/>
      </c>
      <c r="X568" s="341" t="str">
        <f t="shared" si="88"/>
        <v/>
      </c>
      <c r="Y568" s="277"/>
      <c r="AR568" t="str">
        <f t="shared" si="89"/>
        <v/>
      </c>
      <c r="AS568" t="str">
        <f t="shared" si="90"/>
        <v/>
      </c>
    </row>
    <row r="569" spans="1:45">
      <c r="A569" s="294"/>
      <c r="B569" s="295"/>
      <c r="C569" s="296"/>
      <c r="D569" s="296"/>
      <c r="E569" s="296"/>
      <c r="F569" s="296"/>
      <c r="G569" s="297"/>
      <c r="H569" s="303"/>
      <c r="I569" s="298"/>
      <c r="J569" s="298"/>
      <c r="K569" s="299"/>
      <c r="L569" s="304"/>
      <c r="M569" s="300"/>
      <c r="N569" s="301"/>
      <c r="P569" s="193" t="str">
        <f>IF(R569 = "", "", COUNT(R$4:$R569))</f>
        <v/>
      </c>
      <c r="Q569" s="193" t="str">
        <f t="shared" si="81"/>
        <v/>
      </c>
      <c r="R569" s="194" t="str">
        <f t="shared" si="82"/>
        <v/>
      </c>
      <c r="S569" s="195" t="str">
        <f t="shared" si="84"/>
        <v/>
      </c>
      <c r="T569" s="196" t="str">
        <f t="shared" si="85"/>
        <v/>
      </c>
      <c r="U569" s="197" t="str">
        <f t="shared" si="86"/>
        <v/>
      </c>
      <c r="V569" s="198" t="str">
        <f t="shared" si="83"/>
        <v/>
      </c>
      <c r="W569" s="339" t="str">
        <f t="shared" si="87"/>
        <v/>
      </c>
      <c r="X569" s="341" t="str">
        <f t="shared" si="88"/>
        <v/>
      </c>
      <c r="Y569" s="277"/>
      <c r="AR569" t="str">
        <f t="shared" si="89"/>
        <v/>
      </c>
      <c r="AS569" t="str">
        <f t="shared" si="90"/>
        <v/>
      </c>
    </row>
    <row r="570" spans="1:45">
      <c r="A570" s="294"/>
      <c r="B570" s="295"/>
      <c r="C570" s="296"/>
      <c r="D570" s="296"/>
      <c r="E570" s="296"/>
      <c r="F570" s="296"/>
      <c r="G570" s="297"/>
      <c r="H570" s="303"/>
      <c r="I570" s="298"/>
      <c r="J570" s="298"/>
      <c r="K570" s="299"/>
      <c r="L570" s="304"/>
      <c r="M570" s="300"/>
      <c r="N570" s="301"/>
      <c r="P570" s="193" t="str">
        <f>IF(R570 = "", "", COUNT(R$4:$R570))</f>
        <v/>
      </c>
      <c r="Q570" s="193" t="str">
        <f t="shared" si="81"/>
        <v/>
      </c>
      <c r="R570" s="194" t="str">
        <f t="shared" si="82"/>
        <v/>
      </c>
      <c r="S570" s="195" t="str">
        <f t="shared" si="84"/>
        <v/>
      </c>
      <c r="T570" s="196" t="str">
        <f t="shared" si="85"/>
        <v/>
      </c>
      <c r="U570" s="197" t="str">
        <f t="shared" si="86"/>
        <v/>
      </c>
      <c r="V570" s="198" t="str">
        <f t="shared" si="83"/>
        <v/>
      </c>
      <c r="W570" s="339" t="str">
        <f t="shared" si="87"/>
        <v/>
      </c>
      <c r="X570" s="341" t="str">
        <f t="shared" si="88"/>
        <v/>
      </c>
      <c r="Y570" s="277"/>
      <c r="AR570" t="str">
        <f t="shared" si="89"/>
        <v/>
      </c>
      <c r="AS570" t="str">
        <f t="shared" si="90"/>
        <v/>
      </c>
    </row>
    <row r="571" spans="1:45">
      <c r="A571" s="294"/>
      <c r="B571" s="295"/>
      <c r="C571" s="296"/>
      <c r="D571" s="296"/>
      <c r="E571" s="296"/>
      <c r="F571" s="296"/>
      <c r="G571" s="297"/>
      <c r="H571" s="303"/>
      <c r="I571" s="298"/>
      <c r="J571" s="298"/>
      <c r="K571" s="299"/>
      <c r="L571" s="304"/>
      <c r="M571" s="300"/>
      <c r="N571" s="301"/>
      <c r="P571" s="193" t="str">
        <f>IF(R571 = "", "", COUNT(R$4:$R571))</f>
        <v/>
      </c>
      <c r="Q571" s="193" t="str">
        <f t="shared" si="81"/>
        <v/>
      </c>
      <c r="R571" s="194" t="str">
        <f t="shared" si="82"/>
        <v/>
      </c>
      <c r="S571" s="195" t="str">
        <f t="shared" si="84"/>
        <v/>
      </c>
      <c r="T571" s="196" t="str">
        <f t="shared" si="85"/>
        <v/>
      </c>
      <c r="U571" s="197" t="str">
        <f t="shared" si="86"/>
        <v/>
      </c>
      <c r="V571" s="198" t="str">
        <f t="shared" si="83"/>
        <v/>
      </c>
      <c r="W571" s="339" t="str">
        <f t="shared" si="87"/>
        <v/>
      </c>
      <c r="X571" s="341" t="str">
        <f t="shared" si="88"/>
        <v/>
      </c>
      <c r="Y571" s="277"/>
      <c r="AR571" t="str">
        <f t="shared" si="89"/>
        <v/>
      </c>
      <c r="AS571" t="str">
        <f t="shared" si="90"/>
        <v/>
      </c>
    </row>
    <row r="572" spans="1:45">
      <c r="A572" s="294"/>
      <c r="B572" s="295"/>
      <c r="C572" s="296"/>
      <c r="D572" s="296"/>
      <c r="E572" s="296"/>
      <c r="F572" s="296"/>
      <c r="G572" s="297"/>
      <c r="H572" s="303"/>
      <c r="I572" s="298"/>
      <c r="J572" s="298"/>
      <c r="K572" s="299"/>
      <c r="L572" s="304"/>
      <c r="M572" s="300"/>
      <c r="N572" s="301"/>
      <c r="P572" s="193" t="str">
        <f>IF(R572 = "", "", COUNT(R$4:$R572))</f>
        <v/>
      </c>
      <c r="Q572" s="193" t="str">
        <f t="shared" si="81"/>
        <v/>
      </c>
      <c r="R572" s="194" t="str">
        <f t="shared" si="82"/>
        <v/>
      </c>
      <c r="S572" s="195" t="str">
        <f t="shared" si="84"/>
        <v/>
      </c>
      <c r="T572" s="196" t="str">
        <f t="shared" si="85"/>
        <v/>
      </c>
      <c r="U572" s="197" t="str">
        <f t="shared" si="86"/>
        <v/>
      </c>
      <c r="V572" s="198" t="str">
        <f t="shared" si="83"/>
        <v/>
      </c>
      <c r="W572" s="339" t="str">
        <f t="shared" si="87"/>
        <v/>
      </c>
      <c r="X572" s="341" t="str">
        <f t="shared" si="88"/>
        <v/>
      </c>
      <c r="Y572" s="277"/>
      <c r="AR572" t="str">
        <f t="shared" si="89"/>
        <v/>
      </c>
      <c r="AS572" t="str">
        <f t="shared" si="90"/>
        <v/>
      </c>
    </row>
    <row r="573" spans="1:45">
      <c r="A573" s="294"/>
      <c r="B573" s="295"/>
      <c r="C573" s="296"/>
      <c r="D573" s="296"/>
      <c r="E573" s="296"/>
      <c r="F573" s="296"/>
      <c r="G573" s="297"/>
      <c r="H573" s="303"/>
      <c r="I573" s="298"/>
      <c r="J573" s="298"/>
      <c r="K573" s="299"/>
      <c r="L573" s="304"/>
      <c r="M573" s="300"/>
      <c r="N573" s="301"/>
      <c r="P573" s="193" t="str">
        <f>IF(R573 = "", "", COUNT(R$4:$R573))</f>
        <v/>
      </c>
      <c r="Q573" s="193" t="str">
        <f t="shared" si="81"/>
        <v/>
      </c>
      <c r="R573" s="194" t="str">
        <f t="shared" si="82"/>
        <v/>
      </c>
      <c r="S573" s="195" t="str">
        <f t="shared" si="84"/>
        <v/>
      </c>
      <c r="T573" s="196" t="str">
        <f t="shared" si="85"/>
        <v/>
      </c>
      <c r="U573" s="197" t="str">
        <f t="shared" si="86"/>
        <v/>
      </c>
      <c r="V573" s="198" t="str">
        <f t="shared" si="83"/>
        <v/>
      </c>
      <c r="W573" s="339" t="str">
        <f t="shared" si="87"/>
        <v/>
      </c>
      <c r="X573" s="341" t="str">
        <f t="shared" si="88"/>
        <v/>
      </c>
      <c r="Y573" s="277"/>
      <c r="AR573" t="str">
        <f t="shared" si="89"/>
        <v/>
      </c>
      <c r="AS573" t="str">
        <f t="shared" si="90"/>
        <v/>
      </c>
    </row>
    <row r="574" spans="1:45">
      <c r="A574" s="294"/>
      <c r="B574" s="295"/>
      <c r="C574" s="296"/>
      <c r="D574" s="296"/>
      <c r="E574" s="296"/>
      <c r="F574" s="296"/>
      <c r="G574" s="297"/>
      <c r="H574" s="303"/>
      <c r="I574" s="298"/>
      <c r="J574" s="298"/>
      <c r="K574" s="299"/>
      <c r="L574" s="304"/>
      <c r="M574" s="300"/>
      <c r="N574" s="301"/>
      <c r="P574" s="193" t="str">
        <f>IF(R574 = "", "", COUNT(R$4:$R574))</f>
        <v/>
      </c>
      <c r="Q574" s="193" t="str">
        <f t="shared" si="81"/>
        <v/>
      </c>
      <c r="R574" s="194" t="str">
        <f t="shared" si="82"/>
        <v/>
      </c>
      <c r="S574" s="195" t="str">
        <f t="shared" si="84"/>
        <v/>
      </c>
      <c r="T574" s="196" t="str">
        <f t="shared" si="85"/>
        <v/>
      </c>
      <c r="U574" s="197" t="str">
        <f t="shared" si="86"/>
        <v/>
      </c>
      <c r="V574" s="198" t="str">
        <f t="shared" si="83"/>
        <v/>
      </c>
      <c r="W574" s="339" t="str">
        <f t="shared" si="87"/>
        <v/>
      </c>
      <c r="X574" s="341" t="str">
        <f t="shared" si="88"/>
        <v/>
      </c>
      <c r="Y574" s="277"/>
      <c r="AR574" t="str">
        <f t="shared" si="89"/>
        <v/>
      </c>
      <c r="AS574" t="str">
        <f t="shared" si="90"/>
        <v/>
      </c>
    </row>
    <row r="575" spans="1:45">
      <c r="A575" s="294"/>
      <c r="B575" s="295"/>
      <c r="C575" s="296"/>
      <c r="D575" s="296"/>
      <c r="E575" s="296"/>
      <c r="F575" s="296"/>
      <c r="G575" s="297"/>
      <c r="H575" s="303"/>
      <c r="I575" s="298"/>
      <c r="J575" s="298"/>
      <c r="K575" s="299"/>
      <c r="L575" s="304"/>
      <c r="M575" s="300"/>
      <c r="N575" s="301"/>
      <c r="P575" s="193" t="str">
        <f>IF(R575 = "", "", COUNT(R$4:$R575))</f>
        <v/>
      </c>
      <c r="Q575" s="193" t="str">
        <f t="shared" si="81"/>
        <v/>
      </c>
      <c r="R575" s="194" t="str">
        <f t="shared" si="82"/>
        <v/>
      </c>
      <c r="S575" s="195" t="str">
        <f t="shared" si="84"/>
        <v/>
      </c>
      <c r="T575" s="196" t="str">
        <f t="shared" si="85"/>
        <v/>
      </c>
      <c r="U575" s="197" t="str">
        <f t="shared" si="86"/>
        <v/>
      </c>
      <c r="V575" s="198" t="str">
        <f t="shared" si="83"/>
        <v/>
      </c>
      <c r="W575" s="339" t="str">
        <f t="shared" si="87"/>
        <v/>
      </c>
      <c r="X575" s="341" t="str">
        <f t="shared" si="88"/>
        <v/>
      </c>
      <c r="Y575" s="277"/>
      <c r="AR575" t="str">
        <f t="shared" si="89"/>
        <v/>
      </c>
      <c r="AS575" t="str">
        <f t="shared" si="90"/>
        <v/>
      </c>
    </row>
    <row r="576" spans="1:45">
      <c r="A576" s="294"/>
      <c r="B576" s="295"/>
      <c r="C576" s="296"/>
      <c r="D576" s="296"/>
      <c r="E576" s="296"/>
      <c r="F576" s="296"/>
      <c r="G576" s="297"/>
      <c r="H576" s="303"/>
      <c r="I576" s="298"/>
      <c r="J576" s="298"/>
      <c r="K576" s="299"/>
      <c r="L576" s="304"/>
      <c r="M576" s="300"/>
      <c r="N576" s="301"/>
      <c r="P576" s="193" t="str">
        <f>IF(R576 = "", "", COUNT(R$4:$R576))</f>
        <v/>
      </c>
      <c r="Q576" s="193" t="str">
        <f t="shared" si="81"/>
        <v/>
      </c>
      <c r="R576" s="194" t="str">
        <f t="shared" si="82"/>
        <v/>
      </c>
      <c r="S576" s="195" t="str">
        <f t="shared" si="84"/>
        <v/>
      </c>
      <c r="T576" s="196" t="str">
        <f t="shared" si="85"/>
        <v/>
      </c>
      <c r="U576" s="197" t="str">
        <f t="shared" si="86"/>
        <v/>
      </c>
      <c r="V576" s="198" t="str">
        <f t="shared" si="83"/>
        <v/>
      </c>
      <c r="W576" s="339" t="str">
        <f t="shared" si="87"/>
        <v/>
      </c>
      <c r="X576" s="341" t="str">
        <f t="shared" si="88"/>
        <v/>
      </c>
      <c r="Y576" s="277"/>
      <c r="AR576" t="str">
        <f t="shared" si="89"/>
        <v/>
      </c>
      <c r="AS576" t="str">
        <f t="shared" si="90"/>
        <v/>
      </c>
    </row>
    <row r="577" spans="1:45">
      <c r="A577" s="294"/>
      <c r="B577" s="295"/>
      <c r="C577" s="296"/>
      <c r="D577" s="296"/>
      <c r="E577" s="296"/>
      <c r="F577" s="296"/>
      <c r="G577" s="297"/>
      <c r="H577" s="303"/>
      <c r="I577" s="298"/>
      <c r="J577" s="298"/>
      <c r="K577" s="299"/>
      <c r="L577" s="304"/>
      <c r="M577" s="300"/>
      <c r="N577" s="301"/>
      <c r="P577" s="193" t="str">
        <f>IF(R577 = "", "", COUNT(R$4:$R577))</f>
        <v/>
      </c>
      <c r="Q577" s="193" t="str">
        <f t="shared" si="81"/>
        <v/>
      </c>
      <c r="R577" s="194" t="str">
        <f t="shared" si="82"/>
        <v/>
      </c>
      <c r="S577" s="195" t="str">
        <f t="shared" si="84"/>
        <v/>
      </c>
      <c r="T577" s="196" t="str">
        <f t="shared" si="85"/>
        <v/>
      </c>
      <c r="U577" s="197" t="str">
        <f t="shared" si="86"/>
        <v/>
      </c>
      <c r="V577" s="198" t="str">
        <f t="shared" si="83"/>
        <v/>
      </c>
      <c r="W577" s="339" t="str">
        <f t="shared" si="87"/>
        <v/>
      </c>
      <c r="X577" s="341" t="str">
        <f t="shared" si="88"/>
        <v/>
      </c>
      <c r="Y577" s="277"/>
      <c r="AR577" t="str">
        <f t="shared" si="89"/>
        <v/>
      </c>
      <c r="AS577" t="str">
        <f t="shared" si="90"/>
        <v/>
      </c>
    </row>
    <row r="578" spans="1:45">
      <c r="A578" s="294"/>
      <c r="B578" s="295"/>
      <c r="C578" s="296"/>
      <c r="D578" s="296"/>
      <c r="E578" s="296"/>
      <c r="F578" s="296"/>
      <c r="G578" s="297"/>
      <c r="H578" s="303"/>
      <c r="I578" s="298"/>
      <c r="J578" s="298"/>
      <c r="K578" s="299"/>
      <c r="L578" s="304"/>
      <c r="M578" s="300"/>
      <c r="N578" s="301"/>
      <c r="P578" s="193" t="str">
        <f>IF(R578 = "", "", COUNT(R$4:$R578))</f>
        <v/>
      </c>
      <c r="Q578" s="193" t="str">
        <f t="shared" si="81"/>
        <v/>
      </c>
      <c r="R578" s="194" t="str">
        <f t="shared" si="82"/>
        <v/>
      </c>
      <c r="S578" s="195" t="str">
        <f t="shared" si="84"/>
        <v/>
      </c>
      <c r="T578" s="196" t="str">
        <f t="shared" si="85"/>
        <v/>
      </c>
      <c r="U578" s="197" t="str">
        <f t="shared" si="86"/>
        <v/>
      </c>
      <c r="V578" s="198" t="str">
        <f t="shared" si="83"/>
        <v/>
      </c>
      <c r="W578" s="339" t="str">
        <f t="shared" si="87"/>
        <v/>
      </c>
      <c r="X578" s="341" t="str">
        <f t="shared" si="88"/>
        <v/>
      </c>
      <c r="Y578" s="277"/>
      <c r="AR578" t="str">
        <f t="shared" si="89"/>
        <v/>
      </c>
      <c r="AS578" t="str">
        <f t="shared" si="90"/>
        <v/>
      </c>
    </row>
    <row r="579" spans="1:45">
      <c r="A579" s="294"/>
      <c r="B579" s="295"/>
      <c r="C579" s="296"/>
      <c r="D579" s="296"/>
      <c r="E579" s="296"/>
      <c r="F579" s="296"/>
      <c r="G579" s="297"/>
      <c r="H579" s="303"/>
      <c r="I579" s="298"/>
      <c r="J579" s="298"/>
      <c r="K579" s="299"/>
      <c r="L579" s="304"/>
      <c r="M579" s="300"/>
      <c r="N579" s="301"/>
      <c r="P579" s="193" t="str">
        <f>IF(R579 = "", "", COUNT(R$4:$R579))</f>
        <v/>
      </c>
      <c r="Q579" s="193" t="str">
        <f t="shared" si="81"/>
        <v/>
      </c>
      <c r="R579" s="194" t="str">
        <f t="shared" si="82"/>
        <v/>
      </c>
      <c r="S579" s="195" t="str">
        <f t="shared" si="84"/>
        <v/>
      </c>
      <c r="T579" s="196" t="str">
        <f t="shared" si="85"/>
        <v/>
      </c>
      <c r="U579" s="197" t="str">
        <f t="shared" si="86"/>
        <v/>
      </c>
      <c r="V579" s="198" t="str">
        <f t="shared" si="83"/>
        <v/>
      </c>
      <c r="W579" s="339" t="str">
        <f t="shared" si="87"/>
        <v/>
      </c>
      <c r="X579" s="341" t="str">
        <f t="shared" si="88"/>
        <v/>
      </c>
      <c r="Y579" s="277"/>
      <c r="AR579" t="str">
        <f t="shared" si="89"/>
        <v/>
      </c>
      <c r="AS579" t="str">
        <f t="shared" si="90"/>
        <v/>
      </c>
    </row>
    <row r="580" spans="1:45">
      <c r="A580" s="294"/>
      <c r="B580" s="295"/>
      <c r="C580" s="296"/>
      <c r="D580" s="296"/>
      <c r="E580" s="296"/>
      <c r="F580" s="296"/>
      <c r="G580" s="297"/>
      <c r="H580" s="303"/>
      <c r="I580" s="298"/>
      <c r="J580" s="298"/>
      <c r="K580" s="299"/>
      <c r="L580" s="304"/>
      <c r="M580" s="300"/>
      <c r="N580" s="301"/>
      <c r="P580" s="193" t="str">
        <f>IF(R580 = "", "", COUNT(R$4:$R580))</f>
        <v/>
      </c>
      <c r="Q580" s="193" t="str">
        <f t="shared" ref="Q580:Q643" si="91">IF(C580 &gt; 0, YEAR(B580), "")</f>
        <v/>
      </c>
      <c r="R580" s="194" t="str">
        <f t="shared" ref="R580:R643" si="92">IF(A580="", "", IF(G580="",1,IF(G580="O",1,IF(G580="C",8.4,IF(G580="B",8.4,IF(G580="A",76.8,IF(G580="K",76.8,"ERR")))))))</f>
        <v/>
      </c>
      <c r="S580" s="195" t="str">
        <f t="shared" si="84"/>
        <v/>
      </c>
      <c r="T580" s="196" t="str">
        <f t="shared" si="85"/>
        <v/>
      </c>
      <c r="U580" s="197" t="str">
        <f t="shared" si="86"/>
        <v/>
      </c>
      <c r="V580" s="198" t="str">
        <f t="shared" ref="V580:V643" si="93">IF(IF(M580&lt;&gt;"",G580,"")=0, "O", IF(M580&lt;&gt;"",G580,""))</f>
        <v/>
      </c>
      <c r="W580" s="339" t="str">
        <f t="shared" si="87"/>
        <v/>
      </c>
      <c r="X580" s="341" t="str">
        <f t="shared" si="88"/>
        <v/>
      </c>
      <c r="Y580" s="277"/>
      <c r="AR580" t="str">
        <f t="shared" si="89"/>
        <v/>
      </c>
      <c r="AS580" t="str">
        <f t="shared" si="90"/>
        <v/>
      </c>
    </row>
    <row r="581" spans="1:45">
      <c r="A581" s="294"/>
      <c r="B581" s="295"/>
      <c r="C581" s="296"/>
      <c r="D581" s="296"/>
      <c r="E581" s="296"/>
      <c r="F581" s="296"/>
      <c r="G581" s="297"/>
      <c r="H581" s="303"/>
      <c r="I581" s="298"/>
      <c r="J581" s="298"/>
      <c r="K581" s="299"/>
      <c r="L581" s="304"/>
      <c r="M581" s="300"/>
      <c r="N581" s="301"/>
      <c r="P581" s="193" t="str">
        <f>IF(R581 = "", "", COUNT(R$4:$R581))</f>
        <v/>
      </c>
      <c r="Q581" s="193" t="str">
        <f t="shared" si="91"/>
        <v/>
      </c>
      <c r="R581" s="194" t="str">
        <f t="shared" si="92"/>
        <v/>
      </c>
      <c r="S581" s="195" t="str">
        <f t="shared" ref="S581:S644" si="94">IF(L581&lt;&gt;"",R581,"")</f>
        <v/>
      </c>
      <c r="T581" s="196" t="str">
        <f t="shared" ref="T581:T644" si="95">IF(IF(L581&lt;&gt;"",G581,"")=0, "O", IF(L581&lt;&gt;"",G581,""))</f>
        <v/>
      </c>
      <c r="U581" s="197" t="str">
        <f t="shared" ref="U581:U644" si="96">IF(M581&lt;&gt;"",R581,"")</f>
        <v/>
      </c>
      <c r="V581" s="198" t="str">
        <f t="shared" si="93"/>
        <v/>
      </c>
      <c r="W581" s="339" t="str">
        <f t="shared" ref="W581:W644" si="97">IF(N581&lt;&gt;"",R581,"")</f>
        <v/>
      </c>
      <c r="X581" s="341" t="str">
        <f t="shared" ref="X581:X644" si="98">IF(IF(N581&lt;&gt;"",G581,"")=0, "O", IF(N581&lt;&gt;"",G581,""))</f>
        <v/>
      </c>
      <c r="Y581" s="277"/>
      <c r="AR581" t="str">
        <f t="shared" ref="AR581:AR644" si="99">IF(P581&gt;0, P581, "")</f>
        <v/>
      </c>
      <c r="AS581" t="str">
        <f t="shared" ref="AS581:AS644" si="100">IF(OR(L581="Y",M581="Y",N581="Y"),"Y","")</f>
        <v/>
      </c>
    </row>
    <row r="582" spans="1:45">
      <c r="A582" s="294"/>
      <c r="B582" s="295"/>
      <c r="C582" s="296"/>
      <c r="D582" s="296"/>
      <c r="E582" s="296"/>
      <c r="F582" s="296"/>
      <c r="G582" s="297"/>
      <c r="H582" s="303"/>
      <c r="I582" s="298"/>
      <c r="J582" s="298"/>
      <c r="K582" s="299"/>
      <c r="L582" s="304"/>
      <c r="M582" s="300"/>
      <c r="N582" s="301"/>
      <c r="P582" s="193" t="str">
        <f>IF(R582 = "", "", COUNT(R$4:$R582))</f>
        <v/>
      </c>
      <c r="Q582" s="193" t="str">
        <f t="shared" si="91"/>
        <v/>
      </c>
      <c r="R582" s="194" t="str">
        <f t="shared" si="92"/>
        <v/>
      </c>
      <c r="S582" s="195" t="str">
        <f t="shared" si="94"/>
        <v/>
      </c>
      <c r="T582" s="196" t="str">
        <f t="shared" si="95"/>
        <v/>
      </c>
      <c r="U582" s="197" t="str">
        <f t="shared" si="96"/>
        <v/>
      </c>
      <c r="V582" s="198" t="str">
        <f t="shared" si="93"/>
        <v/>
      </c>
      <c r="W582" s="339" t="str">
        <f t="shared" si="97"/>
        <v/>
      </c>
      <c r="X582" s="341" t="str">
        <f t="shared" si="98"/>
        <v/>
      </c>
      <c r="Y582" s="277"/>
      <c r="AR582" t="str">
        <f t="shared" si="99"/>
        <v/>
      </c>
      <c r="AS582" t="str">
        <f t="shared" si="100"/>
        <v/>
      </c>
    </row>
    <row r="583" spans="1:45">
      <c r="A583" s="294"/>
      <c r="B583" s="295"/>
      <c r="C583" s="296"/>
      <c r="D583" s="296"/>
      <c r="E583" s="296"/>
      <c r="F583" s="296"/>
      <c r="G583" s="297"/>
      <c r="H583" s="303"/>
      <c r="I583" s="298"/>
      <c r="J583" s="298"/>
      <c r="K583" s="299"/>
      <c r="L583" s="304"/>
      <c r="M583" s="300"/>
      <c r="N583" s="301"/>
      <c r="P583" s="193" t="str">
        <f>IF(R583 = "", "", COUNT(R$4:$R583))</f>
        <v/>
      </c>
      <c r="Q583" s="193" t="str">
        <f t="shared" si="91"/>
        <v/>
      </c>
      <c r="R583" s="194" t="str">
        <f t="shared" si="92"/>
        <v/>
      </c>
      <c r="S583" s="195" t="str">
        <f t="shared" si="94"/>
        <v/>
      </c>
      <c r="T583" s="196" t="str">
        <f t="shared" si="95"/>
        <v/>
      </c>
      <c r="U583" s="197" t="str">
        <f t="shared" si="96"/>
        <v/>
      </c>
      <c r="V583" s="198" t="str">
        <f t="shared" si="93"/>
        <v/>
      </c>
      <c r="W583" s="339" t="str">
        <f t="shared" si="97"/>
        <v/>
      </c>
      <c r="X583" s="341" t="str">
        <f t="shared" si="98"/>
        <v/>
      </c>
      <c r="Y583" s="277"/>
      <c r="AR583" t="str">
        <f t="shared" si="99"/>
        <v/>
      </c>
      <c r="AS583" t="str">
        <f t="shared" si="100"/>
        <v/>
      </c>
    </row>
    <row r="584" spans="1:45">
      <c r="A584" s="294"/>
      <c r="B584" s="295"/>
      <c r="C584" s="296"/>
      <c r="D584" s="296"/>
      <c r="E584" s="296"/>
      <c r="F584" s="296"/>
      <c r="G584" s="297"/>
      <c r="H584" s="303"/>
      <c r="I584" s="298"/>
      <c r="J584" s="298"/>
      <c r="K584" s="299"/>
      <c r="L584" s="304"/>
      <c r="M584" s="300"/>
      <c r="N584" s="301"/>
      <c r="P584" s="193" t="str">
        <f>IF(R584 = "", "", COUNT(R$4:$R584))</f>
        <v/>
      </c>
      <c r="Q584" s="193" t="str">
        <f t="shared" si="91"/>
        <v/>
      </c>
      <c r="R584" s="194" t="str">
        <f t="shared" si="92"/>
        <v/>
      </c>
      <c r="S584" s="195" t="str">
        <f t="shared" si="94"/>
        <v/>
      </c>
      <c r="T584" s="196" t="str">
        <f t="shared" si="95"/>
        <v/>
      </c>
      <c r="U584" s="197" t="str">
        <f t="shared" si="96"/>
        <v/>
      </c>
      <c r="V584" s="198" t="str">
        <f t="shared" si="93"/>
        <v/>
      </c>
      <c r="W584" s="339" t="str">
        <f t="shared" si="97"/>
        <v/>
      </c>
      <c r="X584" s="341" t="str">
        <f t="shared" si="98"/>
        <v/>
      </c>
      <c r="Y584" s="277"/>
      <c r="AR584" t="str">
        <f t="shared" si="99"/>
        <v/>
      </c>
      <c r="AS584" t="str">
        <f t="shared" si="100"/>
        <v/>
      </c>
    </row>
    <row r="585" spans="1:45">
      <c r="A585" s="294"/>
      <c r="B585" s="295"/>
      <c r="C585" s="296"/>
      <c r="D585" s="296"/>
      <c r="E585" s="296"/>
      <c r="F585" s="296"/>
      <c r="G585" s="297"/>
      <c r="H585" s="303"/>
      <c r="I585" s="298"/>
      <c r="J585" s="298"/>
      <c r="K585" s="299"/>
      <c r="L585" s="304"/>
      <c r="M585" s="300"/>
      <c r="N585" s="301"/>
      <c r="P585" s="193" t="str">
        <f>IF(R585 = "", "", COUNT(R$4:$R585))</f>
        <v/>
      </c>
      <c r="Q585" s="193" t="str">
        <f t="shared" si="91"/>
        <v/>
      </c>
      <c r="R585" s="194" t="str">
        <f t="shared" si="92"/>
        <v/>
      </c>
      <c r="S585" s="195" t="str">
        <f t="shared" si="94"/>
        <v/>
      </c>
      <c r="T585" s="196" t="str">
        <f t="shared" si="95"/>
        <v/>
      </c>
      <c r="U585" s="197" t="str">
        <f t="shared" si="96"/>
        <v/>
      </c>
      <c r="V585" s="198" t="str">
        <f t="shared" si="93"/>
        <v/>
      </c>
      <c r="W585" s="339" t="str">
        <f t="shared" si="97"/>
        <v/>
      </c>
      <c r="X585" s="341" t="str">
        <f t="shared" si="98"/>
        <v/>
      </c>
      <c r="Y585" s="277"/>
      <c r="AR585" t="str">
        <f t="shared" si="99"/>
        <v/>
      </c>
      <c r="AS585" t="str">
        <f t="shared" si="100"/>
        <v/>
      </c>
    </row>
    <row r="586" spans="1:45">
      <c r="A586" s="294"/>
      <c r="B586" s="295"/>
      <c r="C586" s="296"/>
      <c r="D586" s="296"/>
      <c r="E586" s="296"/>
      <c r="F586" s="296"/>
      <c r="G586" s="297"/>
      <c r="H586" s="303"/>
      <c r="I586" s="298"/>
      <c r="J586" s="298"/>
      <c r="K586" s="299"/>
      <c r="L586" s="304"/>
      <c r="M586" s="300"/>
      <c r="N586" s="301"/>
      <c r="P586" s="193" t="str">
        <f>IF(R586 = "", "", COUNT(R$4:$R586))</f>
        <v/>
      </c>
      <c r="Q586" s="193" t="str">
        <f t="shared" si="91"/>
        <v/>
      </c>
      <c r="R586" s="194" t="str">
        <f t="shared" si="92"/>
        <v/>
      </c>
      <c r="S586" s="195" t="str">
        <f t="shared" si="94"/>
        <v/>
      </c>
      <c r="T586" s="196" t="str">
        <f t="shared" si="95"/>
        <v/>
      </c>
      <c r="U586" s="197" t="str">
        <f t="shared" si="96"/>
        <v/>
      </c>
      <c r="V586" s="198" t="str">
        <f t="shared" si="93"/>
        <v/>
      </c>
      <c r="W586" s="339" t="str">
        <f t="shared" si="97"/>
        <v/>
      </c>
      <c r="X586" s="341" t="str">
        <f t="shared" si="98"/>
        <v/>
      </c>
      <c r="Y586" s="277"/>
      <c r="AR586" t="str">
        <f t="shared" si="99"/>
        <v/>
      </c>
      <c r="AS586" t="str">
        <f t="shared" si="100"/>
        <v/>
      </c>
    </row>
    <row r="587" spans="1:45">
      <c r="A587" s="294"/>
      <c r="B587" s="295"/>
      <c r="C587" s="296"/>
      <c r="D587" s="296"/>
      <c r="E587" s="296"/>
      <c r="F587" s="296"/>
      <c r="G587" s="297"/>
      <c r="H587" s="303"/>
      <c r="I587" s="298"/>
      <c r="J587" s="298"/>
      <c r="K587" s="299"/>
      <c r="L587" s="304"/>
      <c r="M587" s="300"/>
      <c r="N587" s="301"/>
      <c r="P587" s="193" t="str">
        <f>IF(R587 = "", "", COUNT(R$4:$R587))</f>
        <v/>
      </c>
      <c r="Q587" s="193" t="str">
        <f t="shared" si="91"/>
        <v/>
      </c>
      <c r="R587" s="194" t="str">
        <f t="shared" si="92"/>
        <v/>
      </c>
      <c r="S587" s="195" t="str">
        <f t="shared" si="94"/>
        <v/>
      </c>
      <c r="T587" s="196" t="str">
        <f t="shared" si="95"/>
        <v/>
      </c>
      <c r="U587" s="197" t="str">
        <f t="shared" si="96"/>
        <v/>
      </c>
      <c r="V587" s="198" t="str">
        <f t="shared" si="93"/>
        <v/>
      </c>
      <c r="W587" s="339" t="str">
        <f t="shared" si="97"/>
        <v/>
      </c>
      <c r="X587" s="341" t="str">
        <f t="shared" si="98"/>
        <v/>
      </c>
      <c r="Y587" s="277"/>
      <c r="AR587" t="str">
        <f t="shared" si="99"/>
        <v/>
      </c>
      <c r="AS587" t="str">
        <f t="shared" si="100"/>
        <v/>
      </c>
    </row>
    <row r="588" spans="1:45">
      <c r="A588" s="294"/>
      <c r="B588" s="295"/>
      <c r="C588" s="296"/>
      <c r="D588" s="296"/>
      <c r="E588" s="296"/>
      <c r="F588" s="296"/>
      <c r="G588" s="297"/>
      <c r="H588" s="303"/>
      <c r="I588" s="298"/>
      <c r="J588" s="298"/>
      <c r="K588" s="299"/>
      <c r="L588" s="304"/>
      <c r="M588" s="300"/>
      <c r="N588" s="301"/>
      <c r="P588" s="193" t="str">
        <f>IF(R588 = "", "", COUNT(R$4:$R588))</f>
        <v/>
      </c>
      <c r="Q588" s="193" t="str">
        <f t="shared" si="91"/>
        <v/>
      </c>
      <c r="R588" s="194" t="str">
        <f t="shared" si="92"/>
        <v/>
      </c>
      <c r="S588" s="195" t="str">
        <f t="shared" si="94"/>
        <v/>
      </c>
      <c r="T588" s="196" t="str">
        <f t="shared" si="95"/>
        <v/>
      </c>
      <c r="U588" s="197" t="str">
        <f t="shared" si="96"/>
        <v/>
      </c>
      <c r="V588" s="198" t="str">
        <f t="shared" si="93"/>
        <v/>
      </c>
      <c r="W588" s="339" t="str">
        <f t="shared" si="97"/>
        <v/>
      </c>
      <c r="X588" s="341" t="str">
        <f t="shared" si="98"/>
        <v/>
      </c>
      <c r="Y588" s="277"/>
      <c r="AR588" t="str">
        <f t="shared" si="99"/>
        <v/>
      </c>
      <c r="AS588" t="str">
        <f t="shared" si="100"/>
        <v/>
      </c>
    </row>
    <row r="589" spans="1:45">
      <c r="A589" s="294"/>
      <c r="B589" s="295"/>
      <c r="C589" s="296"/>
      <c r="D589" s="296"/>
      <c r="E589" s="296"/>
      <c r="F589" s="296"/>
      <c r="G589" s="297"/>
      <c r="H589" s="303"/>
      <c r="I589" s="298"/>
      <c r="J589" s="298"/>
      <c r="K589" s="299"/>
      <c r="L589" s="304"/>
      <c r="M589" s="300"/>
      <c r="N589" s="301"/>
      <c r="P589" s="193" t="str">
        <f>IF(R589 = "", "", COUNT(R$4:$R589))</f>
        <v/>
      </c>
      <c r="Q589" s="193" t="str">
        <f t="shared" si="91"/>
        <v/>
      </c>
      <c r="R589" s="194" t="str">
        <f t="shared" si="92"/>
        <v/>
      </c>
      <c r="S589" s="195" t="str">
        <f t="shared" si="94"/>
        <v/>
      </c>
      <c r="T589" s="196" t="str">
        <f t="shared" si="95"/>
        <v/>
      </c>
      <c r="U589" s="197" t="str">
        <f t="shared" si="96"/>
        <v/>
      </c>
      <c r="V589" s="198" t="str">
        <f t="shared" si="93"/>
        <v/>
      </c>
      <c r="W589" s="339" t="str">
        <f t="shared" si="97"/>
        <v/>
      </c>
      <c r="X589" s="341" t="str">
        <f t="shared" si="98"/>
        <v/>
      </c>
      <c r="Y589" s="277"/>
      <c r="AR589" t="str">
        <f t="shared" si="99"/>
        <v/>
      </c>
      <c r="AS589" t="str">
        <f t="shared" si="100"/>
        <v/>
      </c>
    </row>
    <row r="590" spans="1:45">
      <c r="A590" s="294"/>
      <c r="B590" s="295"/>
      <c r="C590" s="296"/>
      <c r="D590" s="296"/>
      <c r="E590" s="296"/>
      <c r="F590" s="296"/>
      <c r="G590" s="297"/>
      <c r="H590" s="303"/>
      <c r="I590" s="298"/>
      <c r="J590" s="298"/>
      <c r="K590" s="299"/>
      <c r="L590" s="304"/>
      <c r="M590" s="300"/>
      <c r="N590" s="301"/>
      <c r="P590" s="193" t="str">
        <f>IF(R590 = "", "", COUNT(R$4:$R590))</f>
        <v/>
      </c>
      <c r="Q590" s="193" t="str">
        <f t="shared" si="91"/>
        <v/>
      </c>
      <c r="R590" s="194" t="str">
        <f t="shared" si="92"/>
        <v/>
      </c>
      <c r="S590" s="195" t="str">
        <f t="shared" si="94"/>
        <v/>
      </c>
      <c r="T590" s="196" t="str">
        <f t="shared" si="95"/>
        <v/>
      </c>
      <c r="U590" s="197" t="str">
        <f t="shared" si="96"/>
        <v/>
      </c>
      <c r="V590" s="198" t="str">
        <f t="shared" si="93"/>
        <v/>
      </c>
      <c r="W590" s="339" t="str">
        <f t="shared" si="97"/>
        <v/>
      </c>
      <c r="X590" s="341" t="str">
        <f t="shared" si="98"/>
        <v/>
      </c>
      <c r="Y590" s="277"/>
      <c r="AR590" t="str">
        <f t="shared" si="99"/>
        <v/>
      </c>
      <c r="AS590" t="str">
        <f t="shared" si="100"/>
        <v/>
      </c>
    </row>
    <row r="591" spans="1:45">
      <c r="A591" s="294"/>
      <c r="B591" s="295"/>
      <c r="C591" s="296"/>
      <c r="D591" s="296"/>
      <c r="E591" s="296"/>
      <c r="F591" s="296"/>
      <c r="G591" s="297"/>
      <c r="H591" s="303"/>
      <c r="I591" s="298"/>
      <c r="J591" s="298"/>
      <c r="K591" s="299"/>
      <c r="L591" s="304"/>
      <c r="M591" s="300"/>
      <c r="N591" s="301"/>
      <c r="P591" s="193" t="str">
        <f>IF(R591 = "", "", COUNT(R$4:$R591))</f>
        <v/>
      </c>
      <c r="Q591" s="193" t="str">
        <f t="shared" si="91"/>
        <v/>
      </c>
      <c r="R591" s="194" t="str">
        <f t="shared" si="92"/>
        <v/>
      </c>
      <c r="S591" s="195" t="str">
        <f t="shared" si="94"/>
        <v/>
      </c>
      <c r="T591" s="196" t="str">
        <f t="shared" si="95"/>
        <v/>
      </c>
      <c r="U591" s="197" t="str">
        <f t="shared" si="96"/>
        <v/>
      </c>
      <c r="V591" s="198" t="str">
        <f t="shared" si="93"/>
        <v/>
      </c>
      <c r="W591" s="339" t="str">
        <f t="shared" si="97"/>
        <v/>
      </c>
      <c r="X591" s="341" t="str">
        <f t="shared" si="98"/>
        <v/>
      </c>
      <c r="Y591" s="277"/>
      <c r="AR591" t="str">
        <f t="shared" si="99"/>
        <v/>
      </c>
      <c r="AS591" t="str">
        <f t="shared" si="100"/>
        <v/>
      </c>
    </row>
    <row r="592" spans="1:45">
      <c r="A592" s="294"/>
      <c r="B592" s="295"/>
      <c r="C592" s="296"/>
      <c r="D592" s="296"/>
      <c r="E592" s="296"/>
      <c r="F592" s="296"/>
      <c r="G592" s="297"/>
      <c r="H592" s="303"/>
      <c r="I592" s="298"/>
      <c r="J592" s="298"/>
      <c r="K592" s="299"/>
      <c r="L592" s="304"/>
      <c r="M592" s="300"/>
      <c r="N592" s="301"/>
      <c r="P592" s="193" t="str">
        <f>IF(R592 = "", "", COUNT(R$4:$R592))</f>
        <v/>
      </c>
      <c r="Q592" s="193" t="str">
        <f t="shared" si="91"/>
        <v/>
      </c>
      <c r="R592" s="194" t="str">
        <f t="shared" si="92"/>
        <v/>
      </c>
      <c r="S592" s="195" t="str">
        <f t="shared" si="94"/>
        <v/>
      </c>
      <c r="T592" s="196" t="str">
        <f t="shared" si="95"/>
        <v/>
      </c>
      <c r="U592" s="197" t="str">
        <f t="shared" si="96"/>
        <v/>
      </c>
      <c r="V592" s="198" t="str">
        <f t="shared" si="93"/>
        <v/>
      </c>
      <c r="W592" s="339" t="str">
        <f t="shared" si="97"/>
        <v/>
      </c>
      <c r="X592" s="341" t="str">
        <f t="shared" si="98"/>
        <v/>
      </c>
      <c r="Y592" s="277"/>
      <c r="AR592" t="str">
        <f t="shared" si="99"/>
        <v/>
      </c>
      <c r="AS592" t="str">
        <f t="shared" si="100"/>
        <v/>
      </c>
    </row>
    <row r="593" spans="1:45">
      <c r="A593" s="294"/>
      <c r="B593" s="295"/>
      <c r="C593" s="296"/>
      <c r="D593" s="296"/>
      <c r="E593" s="296"/>
      <c r="F593" s="296"/>
      <c r="G593" s="297"/>
      <c r="H593" s="303"/>
      <c r="I593" s="298"/>
      <c r="J593" s="298"/>
      <c r="K593" s="299"/>
      <c r="L593" s="304"/>
      <c r="M593" s="300"/>
      <c r="N593" s="301"/>
      <c r="P593" s="193" t="str">
        <f>IF(R593 = "", "", COUNT(R$4:$R593))</f>
        <v/>
      </c>
      <c r="Q593" s="193" t="str">
        <f t="shared" si="91"/>
        <v/>
      </c>
      <c r="R593" s="194" t="str">
        <f t="shared" si="92"/>
        <v/>
      </c>
      <c r="S593" s="195" t="str">
        <f t="shared" si="94"/>
        <v/>
      </c>
      <c r="T593" s="196" t="str">
        <f t="shared" si="95"/>
        <v/>
      </c>
      <c r="U593" s="197" t="str">
        <f t="shared" si="96"/>
        <v/>
      </c>
      <c r="V593" s="198" t="str">
        <f t="shared" si="93"/>
        <v/>
      </c>
      <c r="W593" s="339" t="str">
        <f t="shared" si="97"/>
        <v/>
      </c>
      <c r="X593" s="341" t="str">
        <f t="shared" si="98"/>
        <v/>
      </c>
      <c r="Y593" s="277"/>
      <c r="AR593" t="str">
        <f t="shared" si="99"/>
        <v/>
      </c>
      <c r="AS593" t="str">
        <f t="shared" si="100"/>
        <v/>
      </c>
    </row>
    <row r="594" spans="1:45">
      <c r="A594" s="294"/>
      <c r="B594" s="295"/>
      <c r="C594" s="296"/>
      <c r="D594" s="296"/>
      <c r="E594" s="296"/>
      <c r="F594" s="296"/>
      <c r="G594" s="297"/>
      <c r="H594" s="303"/>
      <c r="I594" s="298"/>
      <c r="J594" s="298"/>
      <c r="K594" s="299"/>
      <c r="L594" s="304"/>
      <c r="M594" s="300"/>
      <c r="N594" s="301"/>
      <c r="P594" s="193" t="str">
        <f>IF(R594 = "", "", COUNT(R$4:$R594))</f>
        <v/>
      </c>
      <c r="Q594" s="193" t="str">
        <f t="shared" si="91"/>
        <v/>
      </c>
      <c r="R594" s="194" t="str">
        <f t="shared" si="92"/>
        <v/>
      </c>
      <c r="S594" s="195" t="str">
        <f t="shared" si="94"/>
        <v/>
      </c>
      <c r="T594" s="196" t="str">
        <f t="shared" si="95"/>
        <v/>
      </c>
      <c r="U594" s="197" t="str">
        <f t="shared" si="96"/>
        <v/>
      </c>
      <c r="V594" s="198" t="str">
        <f t="shared" si="93"/>
        <v/>
      </c>
      <c r="W594" s="339" t="str">
        <f t="shared" si="97"/>
        <v/>
      </c>
      <c r="X594" s="341" t="str">
        <f t="shared" si="98"/>
        <v/>
      </c>
      <c r="Y594" s="277"/>
      <c r="AR594" t="str">
        <f t="shared" si="99"/>
        <v/>
      </c>
      <c r="AS594" t="str">
        <f t="shared" si="100"/>
        <v/>
      </c>
    </row>
    <row r="595" spans="1:45">
      <c r="A595" s="294"/>
      <c r="B595" s="295"/>
      <c r="C595" s="296"/>
      <c r="D595" s="296"/>
      <c r="E595" s="296"/>
      <c r="F595" s="296"/>
      <c r="G595" s="297"/>
      <c r="H595" s="303"/>
      <c r="I595" s="298"/>
      <c r="J595" s="298"/>
      <c r="K595" s="299"/>
      <c r="L595" s="304"/>
      <c r="M595" s="300"/>
      <c r="N595" s="301"/>
      <c r="P595" s="193" t="str">
        <f>IF(R595 = "", "", COUNT(R$4:$R595))</f>
        <v/>
      </c>
      <c r="Q595" s="193" t="str">
        <f t="shared" si="91"/>
        <v/>
      </c>
      <c r="R595" s="194" t="str">
        <f t="shared" si="92"/>
        <v/>
      </c>
      <c r="S595" s="195" t="str">
        <f t="shared" si="94"/>
        <v/>
      </c>
      <c r="T595" s="196" t="str">
        <f t="shared" si="95"/>
        <v/>
      </c>
      <c r="U595" s="197" t="str">
        <f t="shared" si="96"/>
        <v/>
      </c>
      <c r="V595" s="198" t="str">
        <f t="shared" si="93"/>
        <v/>
      </c>
      <c r="W595" s="339" t="str">
        <f t="shared" si="97"/>
        <v/>
      </c>
      <c r="X595" s="341" t="str">
        <f t="shared" si="98"/>
        <v/>
      </c>
      <c r="Y595" s="277"/>
      <c r="AR595" t="str">
        <f t="shared" si="99"/>
        <v/>
      </c>
      <c r="AS595" t="str">
        <f t="shared" si="100"/>
        <v/>
      </c>
    </row>
    <row r="596" spans="1:45">
      <c r="A596" s="294"/>
      <c r="B596" s="295"/>
      <c r="C596" s="296"/>
      <c r="D596" s="296"/>
      <c r="E596" s="296"/>
      <c r="F596" s="296"/>
      <c r="G596" s="297"/>
      <c r="H596" s="303"/>
      <c r="I596" s="298"/>
      <c r="J596" s="298"/>
      <c r="K596" s="299"/>
      <c r="L596" s="304"/>
      <c r="M596" s="300"/>
      <c r="N596" s="301"/>
      <c r="P596" s="193" t="str">
        <f>IF(R596 = "", "", COUNT(R$4:$R596))</f>
        <v/>
      </c>
      <c r="Q596" s="193" t="str">
        <f t="shared" si="91"/>
        <v/>
      </c>
      <c r="R596" s="194" t="str">
        <f t="shared" si="92"/>
        <v/>
      </c>
      <c r="S596" s="195" t="str">
        <f t="shared" si="94"/>
        <v/>
      </c>
      <c r="T596" s="196" t="str">
        <f t="shared" si="95"/>
        <v/>
      </c>
      <c r="U596" s="197" t="str">
        <f t="shared" si="96"/>
        <v/>
      </c>
      <c r="V596" s="198" t="str">
        <f t="shared" si="93"/>
        <v/>
      </c>
      <c r="W596" s="339" t="str">
        <f t="shared" si="97"/>
        <v/>
      </c>
      <c r="X596" s="341" t="str">
        <f t="shared" si="98"/>
        <v/>
      </c>
      <c r="Y596" s="277"/>
      <c r="AR596" t="str">
        <f t="shared" si="99"/>
        <v/>
      </c>
      <c r="AS596" t="str">
        <f t="shared" si="100"/>
        <v/>
      </c>
    </row>
    <row r="597" spans="1:45">
      <c r="A597" s="294"/>
      <c r="B597" s="295"/>
      <c r="C597" s="296"/>
      <c r="D597" s="296"/>
      <c r="E597" s="296"/>
      <c r="F597" s="296"/>
      <c r="G597" s="297"/>
      <c r="H597" s="303"/>
      <c r="I597" s="298"/>
      <c r="J597" s="298"/>
      <c r="K597" s="299"/>
      <c r="L597" s="304"/>
      <c r="M597" s="300"/>
      <c r="N597" s="301"/>
      <c r="P597" s="193" t="str">
        <f>IF(R597 = "", "", COUNT(R$4:$R597))</f>
        <v/>
      </c>
      <c r="Q597" s="193" t="str">
        <f t="shared" si="91"/>
        <v/>
      </c>
      <c r="R597" s="194" t="str">
        <f t="shared" si="92"/>
        <v/>
      </c>
      <c r="S597" s="195" t="str">
        <f t="shared" si="94"/>
        <v/>
      </c>
      <c r="T597" s="196" t="str">
        <f t="shared" si="95"/>
        <v/>
      </c>
      <c r="U597" s="197" t="str">
        <f t="shared" si="96"/>
        <v/>
      </c>
      <c r="V597" s="198" t="str">
        <f t="shared" si="93"/>
        <v/>
      </c>
      <c r="W597" s="339" t="str">
        <f t="shared" si="97"/>
        <v/>
      </c>
      <c r="X597" s="341" t="str">
        <f t="shared" si="98"/>
        <v/>
      </c>
      <c r="Y597" s="277"/>
      <c r="AR597" t="str">
        <f t="shared" si="99"/>
        <v/>
      </c>
      <c r="AS597" t="str">
        <f t="shared" si="100"/>
        <v/>
      </c>
    </row>
    <row r="598" spans="1:45">
      <c r="A598" s="294"/>
      <c r="B598" s="295"/>
      <c r="C598" s="296"/>
      <c r="D598" s="296"/>
      <c r="E598" s="296"/>
      <c r="F598" s="296"/>
      <c r="G598" s="297"/>
      <c r="H598" s="303"/>
      <c r="I598" s="298"/>
      <c r="J598" s="298"/>
      <c r="K598" s="299"/>
      <c r="L598" s="304"/>
      <c r="M598" s="300"/>
      <c r="N598" s="301"/>
      <c r="P598" s="193" t="str">
        <f>IF(R598 = "", "", COUNT(R$4:$R598))</f>
        <v/>
      </c>
      <c r="Q598" s="193" t="str">
        <f t="shared" si="91"/>
        <v/>
      </c>
      <c r="R598" s="194" t="str">
        <f t="shared" si="92"/>
        <v/>
      </c>
      <c r="S598" s="195" t="str">
        <f t="shared" si="94"/>
        <v/>
      </c>
      <c r="T598" s="196" t="str">
        <f t="shared" si="95"/>
        <v/>
      </c>
      <c r="U598" s="197" t="str">
        <f t="shared" si="96"/>
        <v/>
      </c>
      <c r="V598" s="198" t="str">
        <f t="shared" si="93"/>
        <v/>
      </c>
      <c r="W598" s="339" t="str">
        <f t="shared" si="97"/>
        <v/>
      </c>
      <c r="X598" s="341" t="str">
        <f t="shared" si="98"/>
        <v/>
      </c>
      <c r="Y598" s="277"/>
      <c r="AR598" t="str">
        <f t="shared" si="99"/>
        <v/>
      </c>
      <c r="AS598" t="str">
        <f t="shared" si="100"/>
        <v/>
      </c>
    </row>
    <row r="599" spans="1:45">
      <c r="A599" s="294"/>
      <c r="B599" s="295"/>
      <c r="C599" s="296"/>
      <c r="D599" s="296"/>
      <c r="E599" s="296"/>
      <c r="F599" s="296"/>
      <c r="G599" s="297"/>
      <c r="H599" s="303"/>
      <c r="I599" s="298"/>
      <c r="J599" s="298"/>
      <c r="K599" s="299"/>
      <c r="L599" s="304"/>
      <c r="M599" s="300"/>
      <c r="N599" s="301"/>
      <c r="P599" s="193" t="str">
        <f>IF(R599 = "", "", COUNT(R$4:$R599))</f>
        <v/>
      </c>
      <c r="Q599" s="193" t="str">
        <f t="shared" si="91"/>
        <v/>
      </c>
      <c r="R599" s="194" t="str">
        <f t="shared" si="92"/>
        <v/>
      </c>
      <c r="S599" s="195" t="str">
        <f t="shared" si="94"/>
        <v/>
      </c>
      <c r="T599" s="196" t="str">
        <f t="shared" si="95"/>
        <v/>
      </c>
      <c r="U599" s="197" t="str">
        <f t="shared" si="96"/>
        <v/>
      </c>
      <c r="V599" s="198" t="str">
        <f t="shared" si="93"/>
        <v/>
      </c>
      <c r="W599" s="339" t="str">
        <f t="shared" si="97"/>
        <v/>
      </c>
      <c r="X599" s="341" t="str">
        <f t="shared" si="98"/>
        <v/>
      </c>
      <c r="Y599" s="277"/>
      <c r="AR599" t="str">
        <f t="shared" si="99"/>
        <v/>
      </c>
      <c r="AS599" t="str">
        <f t="shared" si="100"/>
        <v/>
      </c>
    </row>
    <row r="600" spans="1:45">
      <c r="A600" s="294"/>
      <c r="B600" s="295"/>
      <c r="C600" s="296"/>
      <c r="D600" s="296"/>
      <c r="E600" s="296"/>
      <c r="F600" s="296"/>
      <c r="G600" s="297"/>
      <c r="H600" s="303"/>
      <c r="I600" s="298"/>
      <c r="J600" s="298"/>
      <c r="K600" s="299"/>
      <c r="L600" s="304"/>
      <c r="M600" s="300"/>
      <c r="N600" s="301"/>
      <c r="P600" s="193" t="str">
        <f>IF(R600 = "", "", COUNT(R$4:$R600))</f>
        <v/>
      </c>
      <c r="Q600" s="193" t="str">
        <f t="shared" si="91"/>
        <v/>
      </c>
      <c r="R600" s="194" t="str">
        <f t="shared" si="92"/>
        <v/>
      </c>
      <c r="S600" s="195" t="str">
        <f t="shared" si="94"/>
        <v/>
      </c>
      <c r="T600" s="196" t="str">
        <f t="shared" si="95"/>
        <v/>
      </c>
      <c r="U600" s="197" t="str">
        <f t="shared" si="96"/>
        <v/>
      </c>
      <c r="V600" s="198" t="str">
        <f t="shared" si="93"/>
        <v/>
      </c>
      <c r="W600" s="339" t="str">
        <f t="shared" si="97"/>
        <v/>
      </c>
      <c r="X600" s="341" t="str">
        <f t="shared" si="98"/>
        <v/>
      </c>
      <c r="Y600" s="277"/>
      <c r="AR600" t="str">
        <f t="shared" si="99"/>
        <v/>
      </c>
      <c r="AS600" t="str">
        <f t="shared" si="100"/>
        <v/>
      </c>
    </row>
    <row r="601" spans="1:45">
      <c r="A601" s="294"/>
      <c r="B601" s="295"/>
      <c r="C601" s="296"/>
      <c r="D601" s="296"/>
      <c r="E601" s="296"/>
      <c r="F601" s="296"/>
      <c r="G601" s="297"/>
      <c r="H601" s="303"/>
      <c r="I601" s="298"/>
      <c r="J601" s="298"/>
      <c r="K601" s="299"/>
      <c r="L601" s="304"/>
      <c r="M601" s="300"/>
      <c r="N601" s="301"/>
      <c r="P601" s="193" t="str">
        <f>IF(R601 = "", "", COUNT(R$4:$R601))</f>
        <v/>
      </c>
      <c r="Q601" s="193" t="str">
        <f t="shared" si="91"/>
        <v/>
      </c>
      <c r="R601" s="194" t="str">
        <f t="shared" si="92"/>
        <v/>
      </c>
      <c r="S601" s="195" t="str">
        <f t="shared" si="94"/>
        <v/>
      </c>
      <c r="T601" s="196" t="str">
        <f t="shared" si="95"/>
        <v/>
      </c>
      <c r="U601" s="197" t="str">
        <f t="shared" si="96"/>
        <v/>
      </c>
      <c r="V601" s="198" t="str">
        <f t="shared" si="93"/>
        <v/>
      </c>
      <c r="W601" s="339" t="str">
        <f t="shared" si="97"/>
        <v/>
      </c>
      <c r="X601" s="341" t="str">
        <f t="shared" si="98"/>
        <v/>
      </c>
      <c r="Y601" s="277"/>
      <c r="AR601" t="str">
        <f t="shared" si="99"/>
        <v/>
      </c>
      <c r="AS601" t="str">
        <f t="shared" si="100"/>
        <v/>
      </c>
    </row>
    <row r="602" spans="1:45">
      <c r="A602" s="294"/>
      <c r="B602" s="295"/>
      <c r="C602" s="296"/>
      <c r="D602" s="296"/>
      <c r="E602" s="296"/>
      <c r="F602" s="296"/>
      <c r="G602" s="297"/>
      <c r="H602" s="303"/>
      <c r="I602" s="298"/>
      <c r="J602" s="298"/>
      <c r="K602" s="299"/>
      <c r="L602" s="304"/>
      <c r="M602" s="300"/>
      <c r="N602" s="301"/>
      <c r="P602" s="193" t="str">
        <f>IF(R602 = "", "", COUNT(R$4:$R602))</f>
        <v/>
      </c>
      <c r="Q602" s="193" t="str">
        <f t="shared" si="91"/>
        <v/>
      </c>
      <c r="R602" s="194" t="str">
        <f t="shared" si="92"/>
        <v/>
      </c>
      <c r="S602" s="195" t="str">
        <f t="shared" si="94"/>
        <v/>
      </c>
      <c r="T602" s="196" t="str">
        <f t="shared" si="95"/>
        <v/>
      </c>
      <c r="U602" s="197" t="str">
        <f t="shared" si="96"/>
        <v/>
      </c>
      <c r="V602" s="198" t="str">
        <f t="shared" si="93"/>
        <v/>
      </c>
      <c r="W602" s="339" t="str">
        <f t="shared" si="97"/>
        <v/>
      </c>
      <c r="X602" s="341" t="str">
        <f t="shared" si="98"/>
        <v/>
      </c>
      <c r="Y602" s="277"/>
      <c r="AR602" t="str">
        <f t="shared" si="99"/>
        <v/>
      </c>
      <c r="AS602" t="str">
        <f t="shared" si="100"/>
        <v/>
      </c>
    </row>
    <row r="603" spans="1:45">
      <c r="A603" s="294"/>
      <c r="B603" s="295"/>
      <c r="C603" s="296"/>
      <c r="D603" s="296"/>
      <c r="E603" s="296"/>
      <c r="F603" s="296"/>
      <c r="G603" s="297"/>
      <c r="H603" s="303"/>
      <c r="I603" s="298"/>
      <c r="J603" s="298"/>
      <c r="K603" s="299"/>
      <c r="L603" s="304"/>
      <c r="M603" s="300"/>
      <c r="N603" s="301"/>
      <c r="P603" s="193" t="str">
        <f>IF(R603 = "", "", COUNT(R$4:$R603))</f>
        <v/>
      </c>
      <c r="Q603" s="193" t="str">
        <f t="shared" si="91"/>
        <v/>
      </c>
      <c r="R603" s="194" t="str">
        <f t="shared" si="92"/>
        <v/>
      </c>
      <c r="S603" s="195" t="str">
        <f t="shared" si="94"/>
        <v/>
      </c>
      <c r="T603" s="196" t="str">
        <f t="shared" si="95"/>
        <v/>
      </c>
      <c r="U603" s="197" t="str">
        <f t="shared" si="96"/>
        <v/>
      </c>
      <c r="V603" s="198" t="str">
        <f t="shared" si="93"/>
        <v/>
      </c>
      <c r="W603" s="339" t="str">
        <f t="shared" si="97"/>
        <v/>
      </c>
      <c r="X603" s="341" t="str">
        <f t="shared" si="98"/>
        <v/>
      </c>
      <c r="Y603" s="277"/>
      <c r="AR603" t="str">
        <f t="shared" si="99"/>
        <v/>
      </c>
      <c r="AS603" t="str">
        <f t="shared" si="100"/>
        <v/>
      </c>
    </row>
    <row r="604" spans="1:45">
      <c r="A604" s="294"/>
      <c r="B604" s="295"/>
      <c r="C604" s="296"/>
      <c r="D604" s="296"/>
      <c r="E604" s="296"/>
      <c r="F604" s="296"/>
      <c r="G604" s="297"/>
      <c r="H604" s="303"/>
      <c r="I604" s="298"/>
      <c r="J604" s="298"/>
      <c r="K604" s="299"/>
      <c r="L604" s="304"/>
      <c r="M604" s="300"/>
      <c r="N604" s="301"/>
      <c r="P604" s="193" t="str">
        <f>IF(R604 = "", "", COUNT(R$4:$R604))</f>
        <v/>
      </c>
      <c r="Q604" s="193" t="str">
        <f t="shared" si="91"/>
        <v/>
      </c>
      <c r="R604" s="194" t="str">
        <f t="shared" si="92"/>
        <v/>
      </c>
      <c r="S604" s="195" t="str">
        <f t="shared" si="94"/>
        <v/>
      </c>
      <c r="T604" s="196" t="str">
        <f t="shared" si="95"/>
        <v/>
      </c>
      <c r="U604" s="197" t="str">
        <f t="shared" si="96"/>
        <v/>
      </c>
      <c r="V604" s="198" t="str">
        <f t="shared" si="93"/>
        <v/>
      </c>
      <c r="W604" s="339" t="str">
        <f t="shared" si="97"/>
        <v/>
      </c>
      <c r="X604" s="341" t="str">
        <f t="shared" si="98"/>
        <v/>
      </c>
      <c r="Y604" s="277"/>
      <c r="AR604" t="str">
        <f t="shared" si="99"/>
        <v/>
      </c>
      <c r="AS604" t="str">
        <f t="shared" si="100"/>
        <v/>
      </c>
    </row>
    <row r="605" spans="1:45">
      <c r="A605" s="294"/>
      <c r="B605" s="295"/>
      <c r="C605" s="296"/>
      <c r="D605" s="296"/>
      <c r="E605" s="296"/>
      <c r="F605" s="296"/>
      <c r="G605" s="297"/>
      <c r="H605" s="303"/>
      <c r="I605" s="298"/>
      <c r="J605" s="298"/>
      <c r="K605" s="299"/>
      <c r="L605" s="304"/>
      <c r="M605" s="300"/>
      <c r="N605" s="301"/>
      <c r="P605" s="193" t="str">
        <f>IF(R605 = "", "", COUNT(R$4:$R605))</f>
        <v/>
      </c>
      <c r="Q605" s="193" t="str">
        <f t="shared" si="91"/>
        <v/>
      </c>
      <c r="R605" s="194" t="str">
        <f t="shared" si="92"/>
        <v/>
      </c>
      <c r="S605" s="195" t="str">
        <f t="shared" si="94"/>
        <v/>
      </c>
      <c r="T605" s="196" t="str">
        <f t="shared" si="95"/>
        <v/>
      </c>
      <c r="U605" s="197" t="str">
        <f t="shared" si="96"/>
        <v/>
      </c>
      <c r="V605" s="198" t="str">
        <f t="shared" si="93"/>
        <v/>
      </c>
      <c r="W605" s="339" t="str">
        <f t="shared" si="97"/>
        <v/>
      </c>
      <c r="X605" s="341" t="str">
        <f t="shared" si="98"/>
        <v/>
      </c>
      <c r="Y605" s="277"/>
      <c r="AR605" t="str">
        <f t="shared" si="99"/>
        <v/>
      </c>
      <c r="AS605" t="str">
        <f t="shared" si="100"/>
        <v/>
      </c>
    </row>
    <row r="606" spans="1:45">
      <c r="A606" s="294"/>
      <c r="B606" s="295"/>
      <c r="C606" s="296"/>
      <c r="D606" s="296"/>
      <c r="E606" s="296"/>
      <c r="F606" s="296"/>
      <c r="G606" s="297"/>
      <c r="H606" s="303"/>
      <c r="I606" s="298"/>
      <c r="J606" s="298"/>
      <c r="K606" s="299"/>
      <c r="L606" s="304"/>
      <c r="M606" s="300"/>
      <c r="N606" s="301"/>
      <c r="P606" s="193" t="str">
        <f>IF(R606 = "", "", COUNT(R$4:$R606))</f>
        <v/>
      </c>
      <c r="Q606" s="193" t="str">
        <f t="shared" si="91"/>
        <v/>
      </c>
      <c r="R606" s="194" t="str">
        <f t="shared" si="92"/>
        <v/>
      </c>
      <c r="S606" s="195" t="str">
        <f t="shared" si="94"/>
        <v/>
      </c>
      <c r="T606" s="196" t="str">
        <f t="shared" si="95"/>
        <v/>
      </c>
      <c r="U606" s="197" t="str">
        <f t="shared" si="96"/>
        <v/>
      </c>
      <c r="V606" s="198" t="str">
        <f t="shared" si="93"/>
        <v/>
      </c>
      <c r="W606" s="339" t="str">
        <f t="shared" si="97"/>
        <v/>
      </c>
      <c r="X606" s="341" t="str">
        <f t="shared" si="98"/>
        <v/>
      </c>
      <c r="Y606" s="277"/>
      <c r="AR606" t="str">
        <f t="shared" si="99"/>
        <v/>
      </c>
      <c r="AS606" t="str">
        <f t="shared" si="100"/>
        <v/>
      </c>
    </row>
    <row r="607" spans="1:45">
      <c r="A607" s="294"/>
      <c r="B607" s="295"/>
      <c r="C607" s="296"/>
      <c r="D607" s="296"/>
      <c r="E607" s="296"/>
      <c r="F607" s="296"/>
      <c r="G607" s="297"/>
      <c r="H607" s="303"/>
      <c r="I607" s="298"/>
      <c r="J607" s="298"/>
      <c r="K607" s="299"/>
      <c r="L607" s="304"/>
      <c r="M607" s="300"/>
      <c r="N607" s="301"/>
      <c r="P607" s="193" t="str">
        <f>IF(R607 = "", "", COUNT(R$4:$R607))</f>
        <v/>
      </c>
      <c r="Q607" s="193" t="str">
        <f t="shared" si="91"/>
        <v/>
      </c>
      <c r="R607" s="194" t="str">
        <f t="shared" si="92"/>
        <v/>
      </c>
      <c r="S607" s="195" t="str">
        <f t="shared" si="94"/>
        <v/>
      </c>
      <c r="T607" s="196" t="str">
        <f t="shared" si="95"/>
        <v/>
      </c>
      <c r="U607" s="197" t="str">
        <f t="shared" si="96"/>
        <v/>
      </c>
      <c r="V607" s="198" t="str">
        <f t="shared" si="93"/>
        <v/>
      </c>
      <c r="W607" s="339" t="str">
        <f t="shared" si="97"/>
        <v/>
      </c>
      <c r="X607" s="341" t="str">
        <f t="shared" si="98"/>
        <v/>
      </c>
      <c r="Y607" s="277"/>
      <c r="AR607" t="str">
        <f t="shared" si="99"/>
        <v/>
      </c>
      <c r="AS607" t="str">
        <f t="shared" si="100"/>
        <v/>
      </c>
    </row>
    <row r="608" spans="1:45">
      <c r="A608" s="294"/>
      <c r="B608" s="295"/>
      <c r="C608" s="296"/>
      <c r="D608" s="296"/>
      <c r="E608" s="296"/>
      <c r="F608" s="296"/>
      <c r="G608" s="297"/>
      <c r="H608" s="303"/>
      <c r="I608" s="298"/>
      <c r="J608" s="298"/>
      <c r="K608" s="299"/>
      <c r="L608" s="304"/>
      <c r="M608" s="300"/>
      <c r="N608" s="301"/>
      <c r="P608" s="193" t="str">
        <f>IF(R608 = "", "", COUNT(R$4:$R608))</f>
        <v/>
      </c>
      <c r="Q608" s="193" t="str">
        <f t="shared" si="91"/>
        <v/>
      </c>
      <c r="R608" s="194" t="str">
        <f t="shared" si="92"/>
        <v/>
      </c>
      <c r="S608" s="195" t="str">
        <f t="shared" si="94"/>
        <v/>
      </c>
      <c r="T608" s="196" t="str">
        <f t="shared" si="95"/>
        <v/>
      </c>
      <c r="U608" s="197" t="str">
        <f t="shared" si="96"/>
        <v/>
      </c>
      <c r="V608" s="198" t="str">
        <f t="shared" si="93"/>
        <v/>
      </c>
      <c r="W608" s="339" t="str">
        <f t="shared" si="97"/>
        <v/>
      </c>
      <c r="X608" s="341" t="str">
        <f t="shared" si="98"/>
        <v/>
      </c>
      <c r="Y608" s="277"/>
      <c r="AR608" t="str">
        <f t="shared" si="99"/>
        <v/>
      </c>
      <c r="AS608" t="str">
        <f t="shared" si="100"/>
        <v/>
      </c>
    </row>
    <row r="609" spans="1:45">
      <c r="A609" s="294"/>
      <c r="B609" s="295"/>
      <c r="C609" s="296"/>
      <c r="D609" s="296"/>
      <c r="E609" s="296"/>
      <c r="F609" s="296"/>
      <c r="G609" s="297"/>
      <c r="H609" s="303"/>
      <c r="I609" s="298"/>
      <c r="J609" s="298"/>
      <c r="K609" s="299"/>
      <c r="L609" s="304"/>
      <c r="M609" s="300"/>
      <c r="N609" s="301"/>
      <c r="P609" s="193" t="str">
        <f>IF(R609 = "", "", COUNT(R$4:$R609))</f>
        <v/>
      </c>
      <c r="Q609" s="193" t="str">
        <f t="shared" si="91"/>
        <v/>
      </c>
      <c r="R609" s="194" t="str">
        <f t="shared" si="92"/>
        <v/>
      </c>
      <c r="S609" s="195" t="str">
        <f t="shared" si="94"/>
        <v/>
      </c>
      <c r="T609" s="196" t="str">
        <f t="shared" si="95"/>
        <v/>
      </c>
      <c r="U609" s="197" t="str">
        <f t="shared" si="96"/>
        <v/>
      </c>
      <c r="V609" s="198" t="str">
        <f t="shared" si="93"/>
        <v/>
      </c>
      <c r="W609" s="339" t="str">
        <f t="shared" si="97"/>
        <v/>
      </c>
      <c r="X609" s="341" t="str">
        <f t="shared" si="98"/>
        <v/>
      </c>
      <c r="Y609" s="277"/>
      <c r="AR609" t="str">
        <f t="shared" si="99"/>
        <v/>
      </c>
      <c r="AS609" t="str">
        <f t="shared" si="100"/>
        <v/>
      </c>
    </row>
    <row r="610" spans="1:45">
      <c r="A610" s="294"/>
      <c r="B610" s="295"/>
      <c r="C610" s="296"/>
      <c r="D610" s="296"/>
      <c r="E610" s="296"/>
      <c r="F610" s="296"/>
      <c r="G610" s="297"/>
      <c r="H610" s="303"/>
      <c r="I610" s="298"/>
      <c r="J610" s="298"/>
      <c r="K610" s="299"/>
      <c r="L610" s="304"/>
      <c r="M610" s="300"/>
      <c r="N610" s="301"/>
      <c r="P610" s="193" t="str">
        <f>IF(R610 = "", "", COUNT(R$4:$R610))</f>
        <v/>
      </c>
      <c r="Q610" s="193" t="str">
        <f t="shared" si="91"/>
        <v/>
      </c>
      <c r="R610" s="194" t="str">
        <f t="shared" si="92"/>
        <v/>
      </c>
      <c r="S610" s="195" t="str">
        <f t="shared" si="94"/>
        <v/>
      </c>
      <c r="T610" s="196" t="str">
        <f t="shared" si="95"/>
        <v/>
      </c>
      <c r="U610" s="197" t="str">
        <f t="shared" si="96"/>
        <v/>
      </c>
      <c r="V610" s="198" t="str">
        <f t="shared" si="93"/>
        <v/>
      </c>
      <c r="W610" s="339" t="str">
        <f t="shared" si="97"/>
        <v/>
      </c>
      <c r="X610" s="341" t="str">
        <f t="shared" si="98"/>
        <v/>
      </c>
      <c r="Y610" s="277"/>
      <c r="AR610" t="str">
        <f t="shared" si="99"/>
        <v/>
      </c>
      <c r="AS610" t="str">
        <f t="shared" si="100"/>
        <v/>
      </c>
    </row>
    <row r="611" spans="1:45">
      <c r="A611" s="294"/>
      <c r="B611" s="295"/>
      <c r="C611" s="296"/>
      <c r="D611" s="296"/>
      <c r="E611" s="296"/>
      <c r="F611" s="296"/>
      <c r="G611" s="297"/>
      <c r="H611" s="303"/>
      <c r="I611" s="298"/>
      <c r="J611" s="298"/>
      <c r="K611" s="299"/>
      <c r="L611" s="304"/>
      <c r="M611" s="300"/>
      <c r="N611" s="301"/>
      <c r="P611" s="193" t="str">
        <f>IF(R611 = "", "", COUNT(R$4:$R611))</f>
        <v/>
      </c>
      <c r="Q611" s="193" t="str">
        <f t="shared" si="91"/>
        <v/>
      </c>
      <c r="R611" s="194" t="str">
        <f t="shared" si="92"/>
        <v/>
      </c>
      <c r="S611" s="195" t="str">
        <f t="shared" si="94"/>
        <v/>
      </c>
      <c r="T611" s="196" t="str">
        <f t="shared" si="95"/>
        <v/>
      </c>
      <c r="U611" s="197" t="str">
        <f t="shared" si="96"/>
        <v/>
      </c>
      <c r="V611" s="198" t="str">
        <f t="shared" si="93"/>
        <v/>
      </c>
      <c r="W611" s="339" t="str">
        <f t="shared" si="97"/>
        <v/>
      </c>
      <c r="X611" s="341" t="str">
        <f t="shared" si="98"/>
        <v/>
      </c>
      <c r="Y611" s="277"/>
      <c r="AR611" t="str">
        <f t="shared" si="99"/>
        <v/>
      </c>
      <c r="AS611" t="str">
        <f t="shared" si="100"/>
        <v/>
      </c>
    </row>
    <row r="612" spans="1:45">
      <c r="A612" s="294"/>
      <c r="B612" s="295"/>
      <c r="C612" s="296"/>
      <c r="D612" s="296"/>
      <c r="E612" s="296"/>
      <c r="F612" s="296"/>
      <c r="G612" s="297"/>
      <c r="H612" s="303"/>
      <c r="I612" s="298"/>
      <c r="J612" s="298"/>
      <c r="K612" s="299"/>
      <c r="L612" s="304"/>
      <c r="M612" s="300"/>
      <c r="N612" s="301"/>
      <c r="P612" s="193" t="str">
        <f>IF(R612 = "", "", COUNT(R$4:$R612))</f>
        <v/>
      </c>
      <c r="Q612" s="193" t="str">
        <f t="shared" si="91"/>
        <v/>
      </c>
      <c r="R612" s="194" t="str">
        <f t="shared" si="92"/>
        <v/>
      </c>
      <c r="S612" s="195" t="str">
        <f t="shared" si="94"/>
        <v/>
      </c>
      <c r="T612" s="196" t="str">
        <f t="shared" si="95"/>
        <v/>
      </c>
      <c r="U612" s="197" t="str">
        <f t="shared" si="96"/>
        <v/>
      </c>
      <c r="V612" s="198" t="str">
        <f t="shared" si="93"/>
        <v/>
      </c>
      <c r="W612" s="339" t="str">
        <f t="shared" si="97"/>
        <v/>
      </c>
      <c r="X612" s="341" t="str">
        <f t="shared" si="98"/>
        <v/>
      </c>
      <c r="Y612" s="277"/>
      <c r="AR612" t="str">
        <f t="shared" si="99"/>
        <v/>
      </c>
      <c r="AS612" t="str">
        <f t="shared" si="100"/>
        <v/>
      </c>
    </row>
    <row r="613" spans="1:45">
      <c r="A613" s="294"/>
      <c r="B613" s="295"/>
      <c r="C613" s="296"/>
      <c r="D613" s="296"/>
      <c r="E613" s="296"/>
      <c r="F613" s="296"/>
      <c r="G613" s="297"/>
      <c r="H613" s="303"/>
      <c r="I613" s="298"/>
      <c r="J613" s="298"/>
      <c r="K613" s="299"/>
      <c r="L613" s="304"/>
      <c r="M613" s="300"/>
      <c r="N613" s="301"/>
      <c r="P613" s="193" t="str">
        <f>IF(R613 = "", "", COUNT(R$4:$R613))</f>
        <v/>
      </c>
      <c r="Q613" s="193" t="str">
        <f t="shared" si="91"/>
        <v/>
      </c>
      <c r="R613" s="194" t="str">
        <f t="shared" si="92"/>
        <v/>
      </c>
      <c r="S613" s="195" t="str">
        <f t="shared" si="94"/>
        <v/>
      </c>
      <c r="T613" s="196" t="str">
        <f t="shared" si="95"/>
        <v/>
      </c>
      <c r="U613" s="197" t="str">
        <f t="shared" si="96"/>
        <v/>
      </c>
      <c r="V613" s="198" t="str">
        <f t="shared" si="93"/>
        <v/>
      </c>
      <c r="W613" s="339" t="str">
        <f t="shared" si="97"/>
        <v/>
      </c>
      <c r="X613" s="341" t="str">
        <f t="shared" si="98"/>
        <v/>
      </c>
      <c r="Y613" s="277"/>
      <c r="AR613" t="str">
        <f t="shared" si="99"/>
        <v/>
      </c>
      <c r="AS613" t="str">
        <f t="shared" si="100"/>
        <v/>
      </c>
    </row>
    <row r="614" spans="1:45">
      <c r="A614" s="294"/>
      <c r="B614" s="295"/>
      <c r="C614" s="296"/>
      <c r="D614" s="296"/>
      <c r="E614" s="296"/>
      <c r="F614" s="296"/>
      <c r="G614" s="297"/>
      <c r="H614" s="303"/>
      <c r="I614" s="298"/>
      <c r="J614" s="298"/>
      <c r="K614" s="299"/>
      <c r="L614" s="304"/>
      <c r="M614" s="300"/>
      <c r="N614" s="301"/>
      <c r="P614" s="193" t="str">
        <f>IF(R614 = "", "", COUNT(R$4:$R614))</f>
        <v/>
      </c>
      <c r="Q614" s="193" t="str">
        <f t="shared" si="91"/>
        <v/>
      </c>
      <c r="R614" s="194" t="str">
        <f t="shared" si="92"/>
        <v/>
      </c>
      <c r="S614" s="195" t="str">
        <f t="shared" si="94"/>
        <v/>
      </c>
      <c r="T614" s="196" t="str">
        <f t="shared" si="95"/>
        <v/>
      </c>
      <c r="U614" s="197" t="str">
        <f t="shared" si="96"/>
        <v/>
      </c>
      <c r="V614" s="198" t="str">
        <f t="shared" si="93"/>
        <v/>
      </c>
      <c r="W614" s="339" t="str">
        <f t="shared" si="97"/>
        <v/>
      </c>
      <c r="X614" s="341" t="str">
        <f t="shared" si="98"/>
        <v/>
      </c>
      <c r="Y614" s="277"/>
      <c r="AR614" t="str">
        <f t="shared" si="99"/>
        <v/>
      </c>
      <c r="AS614" t="str">
        <f t="shared" si="100"/>
        <v/>
      </c>
    </row>
    <row r="615" spans="1:45">
      <c r="A615" s="294"/>
      <c r="B615" s="295"/>
      <c r="C615" s="296"/>
      <c r="D615" s="296"/>
      <c r="E615" s="296"/>
      <c r="F615" s="296"/>
      <c r="G615" s="297"/>
      <c r="H615" s="303"/>
      <c r="I615" s="298"/>
      <c r="J615" s="298"/>
      <c r="K615" s="299"/>
      <c r="L615" s="304"/>
      <c r="M615" s="300"/>
      <c r="N615" s="301"/>
      <c r="P615" s="193" t="str">
        <f>IF(R615 = "", "", COUNT(R$4:$R615))</f>
        <v/>
      </c>
      <c r="Q615" s="193" t="str">
        <f t="shared" si="91"/>
        <v/>
      </c>
      <c r="R615" s="194" t="str">
        <f t="shared" si="92"/>
        <v/>
      </c>
      <c r="S615" s="195" t="str">
        <f t="shared" si="94"/>
        <v/>
      </c>
      <c r="T615" s="196" t="str">
        <f t="shared" si="95"/>
        <v/>
      </c>
      <c r="U615" s="197" t="str">
        <f t="shared" si="96"/>
        <v/>
      </c>
      <c r="V615" s="198" t="str">
        <f t="shared" si="93"/>
        <v/>
      </c>
      <c r="W615" s="339" t="str">
        <f t="shared" si="97"/>
        <v/>
      </c>
      <c r="X615" s="341" t="str">
        <f t="shared" si="98"/>
        <v/>
      </c>
      <c r="Y615" s="277"/>
      <c r="AR615" t="str">
        <f t="shared" si="99"/>
        <v/>
      </c>
      <c r="AS615" t="str">
        <f t="shared" si="100"/>
        <v/>
      </c>
    </row>
    <row r="616" spans="1:45">
      <c r="A616" s="294"/>
      <c r="B616" s="295"/>
      <c r="C616" s="296"/>
      <c r="D616" s="296"/>
      <c r="E616" s="296"/>
      <c r="F616" s="296"/>
      <c r="G616" s="297"/>
      <c r="H616" s="303"/>
      <c r="I616" s="298"/>
      <c r="J616" s="298"/>
      <c r="K616" s="299"/>
      <c r="L616" s="304"/>
      <c r="M616" s="300"/>
      <c r="N616" s="301"/>
      <c r="P616" s="193" t="str">
        <f>IF(R616 = "", "", COUNT(R$4:$R616))</f>
        <v/>
      </c>
      <c r="Q616" s="193" t="str">
        <f t="shared" si="91"/>
        <v/>
      </c>
      <c r="R616" s="194" t="str">
        <f t="shared" si="92"/>
        <v/>
      </c>
      <c r="S616" s="195" t="str">
        <f t="shared" si="94"/>
        <v/>
      </c>
      <c r="T616" s="196" t="str">
        <f t="shared" si="95"/>
        <v/>
      </c>
      <c r="U616" s="197" t="str">
        <f t="shared" si="96"/>
        <v/>
      </c>
      <c r="V616" s="198" t="str">
        <f t="shared" si="93"/>
        <v/>
      </c>
      <c r="W616" s="339" t="str">
        <f t="shared" si="97"/>
        <v/>
      </c>
      <c r="X616" s="341" t="str">
        <f t="shared" si="98"/>
        <v/>
      </c>
      <c r="Y616" s="277"/>
      <c r="AR616" t="str">
        <f t="shared" si="99"/>
        <v/>
      </c>
      <c r="AS616" t="str">
        <f t="shared" si="100"/>
        <v/>
      </c>
    </row>
    <row r="617" spans="1:45">
      <c r="A617" s="294"/>
      <c r="B617" s="295"/>
      <c r="C617" s="296"/>
      <c r="D617" s="296"/>
      <c r="E617" s="296"/>
      <c r="F617" s="296"/>
      <c r="G617" s="297"/>
      <c r="H617" s="303"/>
      <c r="I617" s="298"/>
      <c r="J617" s="298"/>
      <c r="K617" s="299"/>
      <c r="L617" s="304"/>
      <c r="M617" s="300"/>
      <c r="N617" s="301"/>
      <c r="P617" s="193" t="str">
        <f>IF(R617 = "", "", COUNT(R$4:$R617))</f>
        <v/>
      </c>
      <c r="Q617" s="193" t="str">
        <f t="shared" si="91"/>
        <v/>
      </c>
      <c r="R617" s="194" t="str">
        <f t="shared" si="92"/>
        <v/>
      </c>
      <c r="S617" s="195" t="str">
        <f t="shared" si="94"/>
        <v/>
      </c>
      <c r="T617" s="196" t="str">
        <f t="shared" si="95"/>
        <v/>
      </c>
      <c r="U617" s="197" t="str">
        <f t="shared" si="96"/>
        <v/>
      </c>
      <c r="V617" s="198" t="str">
        <f t="shared" si="93"/>
        <v/>
      </c>
      <c r="W617" s="339" t="str">
        <f t="shared" si="97"/>
        <v/>
      </c>
      <c r="X617" s="341" t="str">
        <f t="shared" si="98"/>
        <v/>
      </c>
      <c r="Y617" s="277"/>
      <c r="AR617" t="str">
        <f t="shared" si="99"/>
        <v/>
      </c>
      <c r="AS617" t="str">
        <f t="shared" si="100"/>
        <v/>
      </c>
    </row>
    <row r="618" spans="1:45">
      <c r="A618" s="294"/>
      <c r="B618" s="295"/>
      <c r="C618" s="296"/>
      <c r="D618" s="296"/>
      <c r="E618" s="296"/>
      <c r="F618" s="296"/>
      <c r="G618" s="297"/>
      <c r="H618" s="303"/>
      <c r="I618" s="298"/>
      <c r="J618" s="298"/>
      <c r="K618" s="299"/>
      <c r="L618" s="304"/>
      <c r="M618" s="300"/>
      <c r="N618" s="301"/>
      <c r="P618" s="193" t="str">
        <f>IF(R618 = "", "", COUNT(R$4:$R618))</f>
        <v/>
      </c>
      <c r="Q618" s="193" t="str">
        <f t="shared" si="91"/>
        <v/>
      </c>
      <c r="R618" s="194" t="str">
        <f t="shared" si="92"/>
        <v/>
      </c>
      <c r="S618" s="195" t="str">
        <f t="shared" si="94"/>
        <v/>
      </c>
      <c r="T618" s="196" t="str">
        <f t="shared" si="95"/>
        <v/>
      </c>
      <c r="U618" s="197" t="str">
        <f t="shared" si="96"/>
        <v/>
      </c>
      <c r="V618" s="198" t="str">
        <f t="shared" si="93"/>
        <v/>
      </c>
      <c r="W618" s="339" t="str">
        <f t="shared" si="97"/>
        <v/>
      </c>
      <c r="X618" s="341" t="str">
        <f t="shared" si="98"/>
        <v/>
      </c>
      <c r="Y618" s="277"/>
      <c r="AR618" t="str">
        <f t="shared" si="99"/>
        <v/>
      </c>
      <c r="AS618" t="str">
        <f t="shared" si="100"/>
        <v/>
      </c>
    </row>
    <row r="619" spans="1:45">
      <c r="A619" s="294"/>
      <c r="B619" s="295"/>
      <c r="C619" s="296"/>
      <c r="D619" s="296"/>
      <c r="E619" s="296"/>
      <c r="F619" s="296"/>
      <c r="G619" s="297"/>
      <c r="H619" s="303"/>
      <c r="I619" s="298"/>
      <c r="J619" s="298"/>
      <c r="K619" s="299"/>
      <c r="L619" s="304"/>
      <c r="M619" s="300"/>
      <c r="N619" s="301"/>
      <c r="P619" s="193" t="str">
        <f>IF(R619 = "", "", COUNT(R$4:$R619))</f>
        <v/>
      </c>
      <c r="Q619" s="193" t="str">
        <f t="shared" si="91"/>
        <v/>
      </c>
      <c r="R619" s="194" t="str">
        <f t="shared" si="92"/>
        <v/>
      </c>
      <c r="S619" s="195" t="str">
        <f t="shared" si="94"/>
        <v/>
      </c>
      <c r="T619" s="196" t="str">
        <f t="shared" si="95"/>
        <v/>
      </c>
      <c r="U619" s="197" t="str">
        <f t="shared" si="96"/>
        <v/>
      </c>
      <c r="V619" s="198" t="str">
        <f t="shared" si="93"/>
        <v/>
      </c>
      <c r="W619" s="339" t="str">
        <f t="shared" si="97"/>
        <v/>
      </c>
      <c r="X619" s="341" t="str">
        <f t="shared" si="98"/>
        <v/>
      </c>
      <c r="Y619" s="277"/>
      <c r="AR619" t="str">
        <f t="shared" si="99"/>
        <v/>
      </c>
      <c r="AS619" t="str">
        <f t="shared" si="100"/>
        <v/>
      </c>
    </row>
    <row r="620" spans="1:45">
      <c r="A620" s="294"/>
      <c r="B620" s="295"/>
      <c r="C620" s="296"/>
      <c r="D620" s="296"/>
      <c r="E620" s="296"/>
      <c r="F620" s="296"/>
      <c r="G620" s="297"/>
      <c r="H620" s="303"/>
      <c r="I620" s="298"/>
      <c r="J620" s="298"/>
      <c r="K620" s="299"/>
      <c r="L620" s="304"/>
      <c r="M620" s="300"/>
      <c r="N620" s="301"/>
      <c r="P620" s="193" t="str">
        <f>IF(R620 = "", "", COUNT(R$4:$R620))</f>
        <v/>
      </c>
      <c r="Q620" s="193" t="str">
        <f t="shared" si="91"/>
        <v/>
      </c>
      <c r="R620" s="194" t="str">
        <f t="shared" si="92"/>
        <v/>
      </c>
      <c r="S620" s="195" t="str">
        <f t="shared" si="94"/>
        <v/>
      </c>
      <c r="T620" s="196" t="str">
        <f t="shared" si="95"/>
        <v/>
      </c>
      <c r="U620" s="197" t="str">
        <f t="shared" si="96"/>
        <v/>
      </c>
      <c r="V620" s="198" t="str">
        <f t="shared" si="93"/>
        <v/>
      </c>
      <c r="W620" s="339" t="str">
        <f t="shared" si="97"/>
        <v/>
      </c>
      <c r="X620" s="341" t="str">
        <f t="shared" si="98"/>
        <v/>
      </c>
      <c r="Y620" s="277"/>
      <c r="AR620" t="str">
        <f t="shared" si="99"/>
        <v/>
      </c>
      <c r="AS620" t="str">
        <f t="shared" si="100"/>
        <v/>
      </c>
    </row>
    <row r="621" spans="1:45">
      <c r="A621" s="294"/>
      <c r="B621" s="295"/>
      <c r="C621" s="296"/>
      <c r="D621" s="296"/>
      <c r="E621" s="296"/>
      <c r="F621" s="296"/>
      <c r="G621" s="297"/>
      <c r="H621" s="303"/>
      <c r="I621" s="298"/>
      <c r="J621" s="298"/>
      <c r="K621" s="299"/>
      <c r="L621" s="304"/>
      <c r="M621" s="300"/>
      <c r="N621" s="301"/>
      <c r="P621" s="193" t="str">
        <f>IF(R621 = "", "", COUNT(R$4:$R621))</f>
        <v/>
      </c>
      <c r="Q621" s="193" t="str">
        <f t="shared" si="91"/>
        <v/>
      </c>
      <c r="R621" s="194" t="str">
        <f t="shared" si="92"/>
        <v/>
      </c>
      <c r="S621" s="195" t="str">
        <f t="shared" si="94"/>
        <v/>
      </c>
      <c r="T621" s="196" t="str">
        <f t="shared" si="95"/>
        <v/>
      </c>
      <c r="U621" s="197" t="str">
        <f t="shared" si="96"/>
        <v/>
      </c>
      <c r="V621" s="198" t="str">
        <f t="shared" si="93"/>
        <v/>
      </c>
      <c r="W621" s="339" t="str">
        <f t="shared" si="97"/>
        <v/>
      </c>
      <c r="X621" s="341" t="str">
        <f t="shared" si="98"/>
        <v/>
      </c>
      <c r="Y621" s="277"/>
      <c r="AR621" t="str">
        <f t="shared" si="99"/>
        <v/>
      </c>
      <c r="AS621" t="str">
        <f t="shared" si="100"/>
        <v/>
      </c>
    </row>
    <row r="622" spans="1:45">
      <c r="A622" s="294"/>
      <c r="B622" s="295"/>
      <c r="C622" s="296"/>
      <c r="D622" s="296"/>
      <c r="E622" s="296"/>
      <c r="F622" s="296"/>
      <c r="G622" s="297"/>
      <c r="H622" s="303"/>
      <c r="I622" s="298"/>
      <c r="J622" s="298"/>
      <c r="K622" s="299"/>
      <c r="L622" s="304"/>
      <c r="M622" s="300"/>
      <c r="N622" s="301"/>
      <c r="P622" s="193" t="str">
        <f>IF(R622 = "", "", COUNT(R$4:$R622))</f>
        <v/>
      </c>
      <c r="Q622" s="193" t="str">
        <f t="shared" si="91"/>
        <v/>
      </c>
      <c r="R622" s="194" t="str">
        <f t="shared" si="92"/>
        <v/>
      </c>
      <c r="S622" s="195" t="str">
        <f t="shared" si="94"/>
        <v/>
      </c>
      <c r="T622" s="196" t="str">
        <f t="shared" si="95"/>
        <v/>
      </c>
      <c r="U622" s="197" t="str">
        <f t="shared" si="96"/>
        <v/>
      </c>
      <c r="V622" s="198" t="str">
        <f t="shared" si="93"/>
        <v/>
      </c>
      <c r="W622" s="339" t="str">
        <f t="shared" si="97"/>
        <v/>
      </c>
      <c r="X622" s="341" t="str">
        <f t="shared" si="98"/>
        <v/>
      </c>
      <c r="Y622" s="277"/>
      <c r="AR622" t="str">
        <f t="shared" si="99"/>
        <v/>
      </c>
      <c r="AS622" t="str">
        <f t="shared" si="100"/>
        <v/>
      </c>
    </row>
    <row r="623" spans="1:45">
      <c r="A623" s="294"/>
      <c r="B623" s="295"/>
      <c r="C623" s="296"/>
      <c r="D623" s="296"/>
      <c r="E623" s="296"/>
      <c r="F623" s="296"/>
      <c r="G623" s="297"/>
      <c r="H623" s="303"/>
      <c r="I623" s="298"/>
      <c r="J623" s="298"/>
      <c r="K623" s="299"/>
      <c r="L623" s="304"/>
      <c r="M623" s="300"/>
      <c r="N623" s="301"/>
      <c r="P623" s="193" t="str">
        <f>IF(R623 = "", "", COUNT(R$4:$R623))</f>
        <v/>
      </c>
      <c r="Q623" s="193" t="str">
        <f t="shared" si="91"/>
        <v/>
      </c>
      <c r="R623" s="194" t="str">
        <f t="shared" si="92"/>
        <v/>
      </c>
      <c r="S623" s="195" t="str">
        <f t="shared" si="94"/>
        <v/>
      </c>
      <c r="T623" s="196" t="str">
        <f t="shared" si="95"/>
        <v/>
      </c>
      <c r="U623" s="197" t="str">
        <f t="shared" si="96"/>
        <v/>
      </c>
      <c r="V623" s="198" t="str">
        <f t="shared" si="93"/>
        <v/>
      </c>
      <c r="W623" s="339" t="str">
        <f t="shared" si="97"/>
        <v/>
      </c>
      <c r="X623" s="341" t="str">
        <f t="shared" si="98"/>
        <v/>
      </c>
      <c r="Y623" s="277"/>
      <c r="AR623" t="str">
        <f t="shared" si="99"/>
        <v/>
      </c>
      <c r="AS623" t="str">
        <f t="shared" si="100"/>
        <v/>
      </c>
    </row>
    <row r="624" spans="1:45">
      <c r="A624" s="294"/>
      <c r="B624" s="295"/>
      <c r="C624" s="296"/>
      <c r="D624" s="296"/>
      <c r="E624" s="296"/>
      <c r="F624" s="296"/>
      <c r="G624" s="297"/>
      <c r="H624" s="303"/>
      <c r="I624" s="298"/>
      <c r="J624" s="298"/>
      <c r="K624" s="299"/>
      <c r="L624" s="304"/>
      <c r="M624" s="300"/>
      <c r="N624" s="301"/>
      <c r="P624" s="193" t="str">
        <f>IF(R624 = "", "", COUNT(R$4:$R624))</f>
        <v/>
      </c>
      <c r="Q624" s="193" t="str">
        <f t="shared" si="91"/>
        <v/>
      </c>
      <c r="R624" s="194" t="str">
        <f t="shared" si="92"/>
        <v/>
      </c>
      <c r="S624" s="195" t="str">
        <f t="shared" si="94"/>
        <v/>
      </c>
      <c r="T624" s="196" t="str">
        <f t="shared" si="95"/>
        <v/>
      </c>
      <c r="U624" s="197" t="str">
        <f t="shared" si="96"/>
        <v/>
      </c>
      <c r="V624" s="198" t="str">
        <f t="shared" si="93"/>
        <v/>
      </c>
      <c r="W624" s="339" t="str">
        <f t="shared" si="97"/>
        <v/>
      </c>
      <c r="X624" s="341" t="str">
        <f t="shared" si="98"/>
        <v/>
      </c>
      <c r="Y624" s="277"/>
      <c r="AR624" t="str">
        <f t="shared" si="99"/>
        <v/>
      </c>
      <c r="AS624" t="str">
        <f t="shared" si="100"/>
        <v/>
      </c>
    </row>
    <row r="625" spans="1:45">
      <c r="A625" s="294"/>
      <c r="B625" s="295"/>
      <c r="C625" s="296"/>
      <c r="D625" s="296"/>
      <c r="E625" s="296"/>
      <c r="F625" s="296"/>
      <c r="G625" s="297"/>
      <c r="H625" s="303"/>
      <c r="I625" s="298"/>
      <c r="J625" s="298"/>
      <c r="K625" s="299"/>
      <c r="L625" s="304"/>
      <c r="M625" s="300"/>
      <c r="N625" s="301"/>
      <c r="P625" s="193" t="str">
        <f>IF(R625 = "", "", COUNT(R$4:$R625))</f>
        <v/>
      </c>
      <c r="Q625" s="193" t="str">
        <f t="shared" si="91"/>
        <v/>
      </c>
      <c r="R625" s="194" t="str">
        <f t="shared" si="92"/>
        <v/>
      </c>
      <c r="S625" s="195" t="str">
        <f t="shared" si="94"/>
        <v/>
      </c>
      <c r="T625" s="196" t="str">
        <f t="shared" si="95"/>
        <v/>
      </c>
      <c r="U625" s="197" t="str">
        <f t="shared" si="96"/>
        <v/>
      </c>
      <c r="V625" s="198" t="str">
        <f t="shared" si="93"/>
        <v/>
      </c>
      <c r="W625" s="339" t="str">
        <f t="shared" si="97"/>
        <v/>
      </c>
      <c r="X625" s="341" t="str">
        <f t="shared" si="98"/>
        <v/>
      </c>
      <c r="Y625" s="277"/>
      <c r="AR625" t="str">
        <f t="shared" si="99"/>
        <v/>
      </c>
      <c r="AS625" t="str">
        <f t="shared" si="100"/>
        <v/>
      </c>
    </row>
    <row r="626" spans="1:45">
      <c r="A626" s="294"/>
      <c r="B626" s="295"/>
      <c r="C626" s="296"/>
      <c r="D626" s="296"/>
      <c r="E626" s="296"/>
      <c r="F626" s="296"/>
      <c r="G626" s="297"/>
      <c r="H626" s="303"/>
      <c r="I626" s="298"/>
      <c r="J626" s="298"/>
      <c r="K626" s="299"/>
      <c r="L626" s="304"/>
      <c r="M626" s="300"/>
      <c r="N626" s="301"/>
      <c r="P626" s="193" t="str">
        <f>IF(R626 = "", "", COUNT(R$4:$R626))</f>
        <v/>
      </c>
      <c r="Q626" s="193" t="str">
        <f t="shared" si="91"/>
        <v/>
      </c>
      <c r="R626" s="194" t="str">
        <f t="shared" si="92"/>
        <v/>
      </c>
      <c r="S626" s="195" t="str">
        <f t="shared" si="94"/>
        <v/>
      </c>
      <c r="T626" s="196" t="str">
        <f t="shared" si="95"/>
        <v/>
      </c>
      <c r="U626" s="197" t="str">
        <f t="shared" si="96"/>
        <v/>
      </c>
      <c r="V626" s="198" t="str">
        <f t="shared" si="93"/>
        <v/>
      </c>
      <c r="W626" s="339" t="str">
        <f t="shared" si="97"/>
        <v/>
      </c>
      <c r="X626" s="341" t="str">
        <f t="shared" si="98"/>
        <v/>
      </c>
      <c r="Y626" s="277"/>
      <c r="AR626" t="str">
        <f t="shared" si="99"/>
        <v/>
      </c>
      <c r="AS626" t="str">
        <f t="shared" si="100"/>
        <v/>
      </c>
    </row>
    <row r="627" spans="1:45">
      <c r="A627" s="294"/>
      <c r="B627" s="295"/>
      <c r="C627" s="296"/>
      <c r="D627" s="296"/>
      <c r="E627" s="296"/>
      <c r="F627" s="296"/>
      <c r="G627" s="297"/>
      <c r="H627" s="303"/>
      <c r="I627" s="298"/>
      <c r="J627" s="298"/>
      <c r="K627" s="299"/>
      <c r="L627" s="304"/>
      <c r="M627" s="300"/>
      <c r="N627" s="301"/>
      <c r="P627" s="193" t="str">
        <f>IF(R627 = "", "", COUNT(R$4:$R627))</f>
        <v/>
      </c>
      <c r="Q627" s="193" t="str">
        <f t="shared" si="91"/>
        <v/>
      </c>
      <c r="R627" s="194" t="str">
        <f t="shared" si="92"/>
        <v/>
      </c>
      <c r="S627" s="195" t="str">
        <f t="shared" si="94"/>
        <v/>
      </c>
      <c r="T627" s="196" t="str">
        <f t="shared" si="95"/>
        <v/>
      </c>
      <c r="U627" s="197" t="str">
        <f t="shared" si="96"/>
        <v/>
      </c>
      <c r="V627" s="198" t="str">
        <f t="shared" si="93"/>
        <v/>
      </c>
      <c r="W627" s="339" t="str">
        <f t="shared" si="97"/>
        <v/>
      </c>
      <c r="X627" s="341" t="str">
        <f t="shared" si="98"/>
        <v/>
      </c>
      <c r="Y627" s="277"/>
      <c r="AR627" t="str">
        <f t="shared" si="99"/>
        <v/>
      </c>
      <c r="AS627" t="str">
        <f t="shared" si="100"/>
        <v/>
      </c>
    </row>
    <row r="628" spans="1:45">
      <c r="A628" s="294"/>
      <c r="B628" s="295"/>
      <c r="C628" s="296"/>
      <c r="D628" s="296"/>
      <c r="E628" s="296"/>
      <c r="F628" s="296"/>
      <c r="G628" s="297"/>
      <c r="H628" s="303"/>
      <c r="I628" s="298"/>
      <c r="J628" s="298"/>
      <c r="K628" s="299"/>
      <c r="L628" s="304"/>
      <c r="M628" s="300"/>
      <c r="N628" s="301"/>
      <c r="P628" s="193" t="str">
        <f>IF(R628 = "", "", COUNT(R$4:$R628))</f>
        <v/>
      </c>
      <c r="Q628" s="193" t="str">
        <f t="shared" si="91"/>
        <v/>
      </c>
      <c r="R628" s="194" t="str">
        <f t="shared" si="92"/>
        <v/>
      </c>
      <c r="S628" s="195" t="str">
        <f t="shared" si="94"/>
        <v/>
      </c>
      <c r="T628" s="196" t="str">
        <f t="shared" si="95"/>
        <v/>
      </c>
      <c r="U628" s="197" t="str">
        <f t="shared" si="96"/>
        <v/>
      </c>
      <c r="V628" s="198" t="str">
        <f t="shared" si="93"/>
        <v/>
      </c>
      <c r="W628" s="339" t="str">
        <f t="shared" si="97"/>
        <v/>
      </c>
      <c r="X628" s="341" t="str">
        <f t="shared" si="98"/>
        <v/>
      </c>
      <c r="Y628" s="277"/>
      <c r="AR628" t="str">
        <f t="shared" si="99"/>
        <v/>
      </c>
      <c r="AS628" t="str">
        <f t="shared" si="100"/>
        <v/>
      </c>
    </row>
    <row r="629" spans="1:45">
      <c r="A629" s="294"/>
      <c r="B629" s="295"/>
      <c r="C629" s="296"/>
      <c r="D629" s="296"/>
      <c r="E629" s="296"/>
      <c r="F629" s="296"/>
      <c r="G629" s="297"/>
      <c r="H629" s="303"/>
      <c r="I629" s="298"/>
      <c r="J629" s="298"/>
      <c r="K629" s="299"/>
      <c r="L629" s="304"/>
      <c r="M629" s="300"/>
      <c r="N629" s="301"/>
      <c r="P629" s="193" t="str">
        <f>IF(R629 = "", "", COUNT(R$4:$R629))</f>
        <v/>
      </c>
      <c r="Q629" s="193" t="str">
        <f t="shared" si="91"/>
        <v/>
      </c>
      <c r="R629" s="194" t="str">
        <f t="shared" si="92"/>
        <v/>
      </c>
      <c r="S629" s="195" t="str">
        <f t="shared" si="94"/>
        <v/>
      </c>
      <c r="T629" s="196" t="str">
        <f t="shared" si="95"/>
        <v/>
      </c>
      <c r="U629" s="197" t="str">
        <f t="shared" si="96"/>
        <v/>
      </c>
      <c r="V629" s="198" t="str">
        <f t="shared" si="93"/>
        <v/>
      </c>
      <c r="W629" s="339" t="str">
        <f t="shared" si="97"/>
        <v/>
      </c>
      <c r="X629" s="341" t="str">
        <f t="shared" si="98"/>
        <v/>
      </c>
      <c r="Y629" s="277"/>
      <c r="AR629" t="str">
        <f t="shared" si="99"/>
        <v/>
      </c>
      <c r="AS629" t="str">
        <f t="shared" si="100"/>
        <v/>
      </c>
    </row>
    <row r="630" spans="1:45">
      <c r="A630" s="294"/>
      <c r="B630" s="295"/>
      <c r="C630" s="296"/>
      <c r="D630" s="296"/>
      <c r="E630" s="296"/>
      <c r="F630" s="296"/>
      <c r="G630" s="297"/>
      <c r="H630" s="303"/>
      <c r="I630" s="298"/>
      <c r="J630" s="298"/>
      <c r="K630" s="299"/>
      <c r="L630" s="304"/>
      <c r="M630" s="300"/>
      <c r="N630" s="301"/>
      <c r="P630" s="193" t="str">
        <f>IF(R630 = "", "", COUNT(R$4:$R630))</f>
        <v/>
      </c>
      <c r="Q630" s="193" t="str">
        <f t="shared" si="91"/>
        <v/>
      </c>
      <c r="R630" s="194" t="str">
        <f t="shared" si="92"/>
        <v/>
      </c>
      <c r="S630" s="195" t="str">
        <f t="shared" si="94"/>
        <v/>
      </c>
      <c r="T630" s="196" t="str">
        <f t="shared" si="95"/>
        <v/>
      </c>
      <c r="U630" s="197" t="str">
        <f t="shared" si="96"/>
        <v/>
      </c>
      <c r="V630" s="198" t="str">
        <f t="shared" si="93"/>
        <v/>
      </c>
      <c r="W630" s="339" t="str">
        <f t="shared" si="97"/>
        <v/>
      </c>
      <c r="X630" s="341" t="str">
        <f t="shared" si="98"/>
        <v/>
      </c>
      <c r="Y630" s="277"/>
      <c r="AR630" t="str">
        <f t="shared" si="99"/>
        <v/>
      </c>
      <c r="AS630" t="str">
        <f t="shared" si="100"/>
        <v/>
      </c>
    </row>
    <row r="631" spans="1:45">
      <c r="A631" s="294"/>
      <c r="B631" s="295"/>
      <c r="C631" s="296"/>
      <c r="D631" s="296"/>
      <c r="E631" s="296"/>
      <c r="F631" s="296"/>
      <c r="G631" s="297"/>
      <c r="H631" s="303"/>
      <c r="I631" s="298"/>
      <c r="J631" s="298"/>
      <c r="K631" s="299"/>
      <c r="L631" s="304"/>
      <c r="M631" s="300"/>
      <c r="N631" s="301"/>
      <c r="P631" s="193" t="str">
        <f>IF(R631 = "", "", COUNT(R$4:$R631))</f>
        <v/>
      </c>
      <c r="Q631" s="193" t="str">
        <f t="shared" si="91"/>
        <v/>
      </c>
      <c r="R631" s="194" t="str">
        <f t="shared" si="92"/>
        <v/>
      </c>
      <c r="S631" s="195" t="str">
        <f t="shared" si="94"/>
        <v/>
      </c>
      <c r="T631" s="196" t="str">
        <f t="shared" si="95"/>
        <v/>
      </c>
      <c r="U631" s="197" t="str">
        <f t="shared" si="96"/>
        <v/>
      </c>
      <c r="V631" s="198" t="str">
        <f t="shared" si="93"/>
        <v/>
      </c>
      <c r="W631" s="339" t="str">
        <f t="shared" si="97"/>
        <v/>
      </c>
      <c r="X631" s="341" t="str">
        <f t="shared" si="98"/>
        <v/>
      </c>
      <c r="Y631" s="277"/>
      <c r="AR631" t="str">
        <f t="shared" si="99"/>
        <v/>
      </c>
      <c r="AS631" t="str">
        <f t="shared" si="100"/>
        <v/>
      </c>
    </row>
    <row r="632" spans="1:45">
      <c r="A632" s="294"/>
      <c r="B632" s="295"/>
      <c r="C632" s="296"/>
      <c r="D632" s="296"/>
      <c r="E632" s="296"/>
      <c r="F632" s="296"/>
      <c r="G632" s="297"/>
      <c r="H632" s="303"/>
      <c r="I632" s="298"/>
      <c r="J632" s="298"/>
      <c r="K632" s="299"/>
      <c r="L632" s="304"/>
      <c r="M632" s="300"/>
      <c r="N632" s="301"/>
      <c r="P632" s="193" t="str">
        <f>IF(R632 = "", "", COUNT(R$4:$R632))</f>
        <v/>
      </c>
      <c r="Q632" s="193" t="str">
        <f t="shared" si="91"/>
        <v/>
      </c>
      <c r="R632" s="194" t="str">
        <f t="shared" si="92"/>
        <v/>
      </c>
      <c r="S632" s="195" t="str">
        <f t="shared" si="94"/>
        <v/>
      </c>
      <c r="T632" s="196" t="str">
        <f t="shared" si="95"/>
        <v/>
      </c>
      <c r="U632" s="197" t="str">
        <f t="shared" si="96"/>
        <v/>
      </c>
      <c r="V632" s="198" t="str">
        <f t="shared" si="93"/>
        <v/>
      </c>
      <c r="W632" s="339" t="str">
        <f t="shared" si="97"/>
        <v/>
      </c>
      <c r="X632" s="341" t="str">
        <f t="shared" si="98"/>
        <v/>
      </c>
      <c r="Y632" s="277"/>
      <c r="AR632" t="str">
        <f t="shared" si="99"/>
        <v/>
      </c>
      <c r="AS632" t="str">
        <f t="shared" si="100"/>
        <v/>
      </c>
    </row>
    <row r="633" spans="1:45">
      <c r="A633" s="294"/>
      <c r="B633" s="295"/>
      <c r="C633" s="296"/>
      <c r="D633" s="296"/>
      <c r="E633" s="296"/>
      <c r="F633" s="296"/>
      <c r="G633" s="297"/>
      <c r="H633" s="303"/>
      <c r="I633" s="298"/>
      <c r="J633" s="298"/>
      <c r="K633" s="299"/>
      <c r="L633" s="304"/>
      <c r="M633" s="300"/>
      <c r="N633" s="301"/>
      <c r="P633" s="193" t="str">
        <f>IF(R633 = "", "", COUNT(R$4:$R633))</f>
        <v/>
      </c>
      <c r="Q633" s="193" t="str">
        <f t="shared" si="91"/>
        <v/>
      </c>
      <c r="R633" s="194" t="str">
        <f t="shared" si="92"/>
        <v/>
      </c>
      <c r="S633" s="195" t="str">
        <f t="shared" si="94"/>
        <v/>
      </c>
      <c r="T633" s="196" t="str">
        <f t="shared" si="95"/>
        <v/>
      </c>
      <c r="U633" s="197" t="str">
        <f t="shared" si="96"/>
        <v/>
      </c>
      <c r="V633" s="198" t="str">
        <f t="shared" si="93"/>
        <v/>
      </c>
      <c r="W633" s="339" t="str">
        <f t="shared" si="97"/>
        <v/>
      </c>
      <c r="X633" s="341" t="str">
        <f t="shared" si="98"/>
        <v/>
      </c>
      <c r="Y633" s="277"/>
      <c r="AR633" t="str">
        <f t="shared" si="99"/>
        <v/>
      </c>
      <c r="AS633" t="str">
        <f t="shared" si="100"/>
        <v/>
      </c>
    </row>
    <row r="634" spans="1:45">
      <c r="A634" s="294"/>
      <c r="B634" s="295"/>
      <c r="C634" s="296"/>
      <c r="D634" s="296"/>
      <c r="E634" s="296"/>
      <c r="F634" s="296"/>
      <c r="G634" s="297"/>
      <c r="H634" s="303"/>
      <c r="I634" s="298"/>
      <c r="J634" s="298"/>
      <c r="K634" s="299"/>
      <c r="L634" s="304"/>
      <c r="M634" s="300"/>
      <c r="N634" s="301"/>
      <c r="P634" s="193" t="str">
        <f>IF(R634 = "", "", COUNT(R$4:$R634))</f>
        <v/>
      </c>
      <c r="Q634" s="193" t="str">
        <f t="shared" si="91"/>
        <v/>
      </c>
      <c r="R634" s="194" t="str">
        <f t="shared" si="92"/>
        <v/>
      </c>
      <c r="S634" s="195" t="str">
        <f t="shared" si="94"/>
        <v/>
      </c>
      <c r="T634" s="196" t="str">
        <f t="shared" si="95"/>
        <v/>
      </c>
      <c r="U634" s="197" t="str">
        <f t="shared" si="96"/>
        <v/>
      </c>
      <c r="V634" s="198" t="str">
        <f t="shared" si="93"/>
        <v/>
      </c>
      <c r="W634" s="339" t="str">
        <f t="shared" si="97"/>
        <v/>
      </c>
      <c r="X634" s="341" t="str">
        <f t="shared" si="98"/>
        <v/>
      </c>
      <c r="Y634" s="277"/>
      <c r="AR634" t="str">
        <f t="shared" si="99"/>
        <v/>
      </c>
      <c r="AS634" t="str">
        <f t="shared" si="100"/>
        <v/>
      </c>
    </row>
    <row r="635" spans="1:45">
      <c r="A635" s="294"/>
      <c r="B635" s="295"/>
      <c r="C635" s="296"/>
      <c r="D635" s="296"/>
      <c r="E635" s="296"/>
      <c r="F635" s="296"/>
      <c r="G635" s="297"/>
      <c r="H635" s="303"/>
      <c r="I635" s="298"/>
      <c r="J635" s="298"/>
      <c r="K635" s="299"/>
      <c r="L635" s="304"/>
      <c r="M635" s="300"/>
      <c r="N635" s="301"/>
      <c r="P635" s="193" t="str">
        <f>IF(R635 = "", "", COUNT(R$4:$R635))</f>
        <v/>
      </c>
      <c r="Q635" s="193" t="str">
        <f t="shared" si="91"/>
        <v/>
      </c>
      <c r="R635" s="194" t="str">
        <f t="shared" si="92"/>
        <v/>
      </c>
      <c r="S635" s="195" t="str">
        <f t="shared" si="94"/>
        <v/>
      </c>
      <c r="T635" s="196" t="str">
        <f t="shared" si="95"/>
        <v/>
      </c>
      <c r="U635" s="197" t="str">
        <f t="shared" si="96"/>
        <v/>
      </c>
      <c r="V635" s="198" t="str">
        <f t="shared" si="93"/>
        <v/>
      </c>
      <c r="W635" s="339" t="str">
        <f t="shared" si="97"/>
        <v/>
      </c>
      <c r="X635" s="341" t="str">
        <f t="shared" si="98"/>
        <v/>
      </c>
      <c r="Y635" s="277"/>
      <c r="AR635" t="str">
        <f t="shared" si="99"/>
        <v/>
      </c>
      <c r="AS635" t="str">
        <f t="shared" si="100"/>
        <v/>
      </c>
    </row>
    <row r="636" spans="1:45">
      <c r="A636" s="294"/>
      <c r="B636" s="295"/>
      <c r="C636" s="296"/>
      <c r="D636" s="296"/>
      <c r="E636" s="296"/>
      <c r="F636" s="296"/>
      <c r="G636" s="297"/>
      <c r="H636" s="303"/>
      <c r="I636" s="298"/>
      <c r="J636" s="298"/>
      <c r="K636" s="299"/>
      <c r="L636" s="304"/>
      <c r="M636" s="300"/>
      <c r="N636" s="301"/>
      <c r="P636" s="193" t="str">
        <f>IF(R636 = "", "", COUNT(R$4:$R636))</f>
        <v/>
      </c>
      <c r="Q636" s="193" t="str">
        <f t="shared" si="91"/>
        <v/>
      </c>
      <c r="R636" s="194" t="str">
        <f t="shared" si="92"/>
        <v/>
      </c>
      <c r="S636" s="195" t="str">
        <f t="shared" si="94"/>
        <v/>
      </c>
      <c r="T636" s="196" t="str">
        <f t="shared" si="95"/>
        <v/>
      </c>
      <c r="U636" s="197" t="str">
        <f t="shared" si="96"/>
        <v/>
      </c>
      <c r="V636" s="198" t="str">
        <f t="shared" si="93"/>
        <v/>
      </c>
      <c r="W636" s="339" t="str">
        <f t="shared" si="97"/>
        <v/>
      </c>
      <c r="X636" s="341" t="str">
        <f t="shared" si="98"/>
        <v/>
      </c>
      <c r="Y636" s="277"/>
      <c r="AR636" t="str">
        <f t="shared" si="99"/>
        <v/>
      </c>
      <c r="AS636" t="str">
        <f t="shared" si="100"/>
        <v/>
      </c>
    </row>
    <row r="637" spans="1:45">
      <c r="A637" s="294"/>
      <c r="B637" s="295"/>
      <c r="C637" s="296"/>
      <c r="D637" s="296"/>
      <c r="E637" s="296"/>
      <c r="F637" s="296"/>
      <c r="G637" s="297"/>
      <c r="H637" s="303"/>
      <c r="I637" s="298"/>
      <c r="J637" s="298"/>
      <c r="K637" s="299"/>
      <c r="L637" s="304"/>
      <c r="M637" s="300"/>
      <c r="N637" s="301"/>
      <c r="P637" s="193" t="str">
        <f>IF(R637 = "", "", COUNT(R$4:$R637))</f>
        <v/>
      </c>
      <c r="Q637" s="193" t="str">
        <f t="shared" si="91"/>
        <v/>
      </c>
      <c r="R637" s="194" t="str">
        <f t="shared" si="92"/>
        <v/>
      </c>
      <c r="S637" s="195" t="str">
        <f t="shared" si="94"/>
        <v/>
      </c>
      <c r="T637" s="196" t="str">
        <f t="shared" si="95"/>
        <v/>
      </c>
      <c r="U637" s="197" t="str">
        <f t="shared" si="96"/>
        <v/>
      </c>
      <c r="V637" s="198" t="str">
        <f t="shared" si="93"/>
        <v/>
      </c>
      <c r="W637" s="339" t="str">
        <f t="shared" si="97"/>
        <v/>
      </c>
      <c r="X637" s="341" t="str">
        <f t="shared" si="98"/>
        <v/>
      </c>
      <c r="Y637" s="277"/>
      <c r="AR637" t="str">
        <f t="shared" si="99"/>
        <v/>
      </c>
      <c r="AS637" t="str">
        <f t="shared" si="100"/>
        <v/>
      </c>
    </row>
    <row r="638" spans="1:45">
      <c r="A638" s="294"/>
      <c r="B638" s="295"/>
      <c r="C638" s="296"/>
      <c r="D638" s="296"/>
      <c r="E638" s="296"/>
      <c r="F638" s="296"/>
      <c r="G638" s="297"/>
      <c r="H638" s="303"/>
      <c r="I638" s="298"/>
      <c r="J638" s="298"/>
      <c r="K638" s="299"/>
      <c r="L638" s="304"/>
      <c r="M638" s="300"/>
      <c r="N638" s="301"/>
      <c r="P638" s="193" t="str">
        <f>IF(R638 = "", "", COUNT(R$4:$R638))</f>
        <v/>
      </c>
      <c r="Q638" s="193" t="str">
        <f t="shared" si="91"/>
        <v/>
      </c>
      <c r="R638" s="194" t="str">
        <f t="shared" si="92"/>
        <v/>
      </c>
      <c r="S638" s="195" t="str">
        <f t="shared" si="94"/>
        <v/>
      </c>
      <c r="T638" s="196" t="str">
        <f t="shared" si="95"/>
        <v/>
      </c>
      <c r="U638" s="197" t="str">
        <f t="shared" si="96"/>
        <v/>
      </c>
      <c r="V638" s="198" t="str">
        <f t="shared" si="93"/>
        <v/>
      </c>
      <c r="W638" s="339" t="str">
        <f t="shared" si="97"/>
        <v/>
      </c>
      <c r="X638" s="341" t="str">
        <f t="shared" si="98"/>
        <v/>
      </c>
      <c r="Y638" s="277"/>
      <c r="AR638" t="str">
        <f t="shared" si="99"/>
        <v/>
      </c>
      <c r="AS638" t="str">
        <f t="shared" si="100"/>
        <v/>
      </c>
    </row>
    <row r="639" spans="1:45">
      <c r="A639" s="294"/>
      <c r="B639" s="295"/>
      <c r="C639" s="296"/>
      <c r="D639" s="296"/>
      <c r="E639" s="296"/>
      <c r="F639" s="296"/>
      <c r="G639" s="297"/>
      <c r="H639" s="303"/>
      <c r="I639" s="298"/>
      <c r="J639" s="298"/>
      <c r="K639" s="299"/>
      <c r="L639" s="304"/>
      <c r="M639" s="300"/>
      <c r="N639" s="301"/>
      <c r="P639" s="193" t="str">
        <f>IF(R639 = "", "", COUNT(R$4:$R639))</f>
        <v/>
      </c>
      <c r="Q639" s="193" t="str">
        <f t="shared" si="91"/>
        <v/>
      </c>
      <c r="R639" s="194" t="str">
        <f t="shared" si="92"/>
        <v/>
      </c>
      <c r="S639" s="195" t="str">
        <f t="shared" si="94"/>
        <v/>
      </c>
      <c r="T639" s="196" t="str">
        <f t="shared" si="95"/>
        <v/>
      </c>
      <c r="U639" s="197" t="str">
        <f t="shared" si="96"/>
        <v/>
      </c>
      <c r="V639" s="198" t="str">
        <f t="shared" si="93"/>
        <v/>
      </c>
      <c r="W639" s="339" t="str">
        <f t="shared" si="97"/>
        <v/>
      </c>
      <c r="X639" s="341" t="str">
        <f t="shared" si="98"/>
        <v/>
      </c>
      <c r="Y639" s="277"/>
      <c r="AR639" t="str">
        <f t="shared" si="99"/>
        <v/>
      </c>
      <c r="AS639" t="str">
        <f t="shared" si="100"/>
        <v/>
      </c>
    </row>
    <row r="640" spans="1:45">
      <c r="A640" s="294"/>
      <c r="B640" s="295"/>
      <c r="C640" s="296"/>
      <c r="D640" s="296"/>
      <c r="E640" s="296"/>
      <c r="F640" s="296"/>
      <c r="G640" s="297"/>
      <c r="H640" s="303"/>
      <c r="I640" s="298"/>
      <c r="J640" s="298"/>
      <c r="K640" s="299"/>
      <c r="L640" s="304"/>
      <c r="M640" s="300"/>
      <c r="N640" s="301"/>
      <c r="P640" s="193" t="str">
        <f>IF(R640 = "", "", COUNT(R$4:$R640))</f>
        <v/>
      </c>
      <c r="Q640" s="193" t="str">
        <f t="shared" si="91"/>
        <v/>
      </c>
      <c r="R640" s="194" t="str">
        <f t="shared" si="92"/>
        <v/>
      </c>
      <c r="S640" s="195" t="str">
        <f t="shared" si="94"/>
        <v/>
      </c>
      <c r="T640" s="196" t="str">
        <f t="shared" si="95"/>
        <v/>
      </c>
      <c r="U640" s="197" t="str">
        <f t="shared" si="96"/>
        <v/>
      </c>
      <c r="V640" s="198" t="str">
        <f t="shared" si="93"/>
        <v/>
      </c>
      <c r="W640" s="339" t="str">
        <f t="shared" si="97"/>
        <v/>
      </c>
      <c r="X640" s="341" t="str">
        <f t="shared" si="98"/>
        <v/>
      </c>
      <c r="Y640" s="277"/>
      <c r="AR640" t="str">
        <f t="shared" si="99"/>
        <v/>
      </c>
      <c r="AS640" t="str">
        <f t="shared" si="100"/>
        <v/>
      </c>
    </row>
    <row r="641" spans="1:45">
      <c r="A641" s="294"/>
      <c r="B641" s="295"/>
      <c r="C641" s="296"/>
      <c r="D641" s="296"/>
      <c r="E641" s="296"/>
      <c r="F641" s="296"/>
      <c r="G641" s="297"/>
      <c r="H641" s="303"/>
      <c r="I641" s="298"/>
      <c r="J641" s="298"/>
      <c r="K641" s="299"/>
      <c r="L641" s="304"/>
      <c r="M641" s="300"/>
      <c r="N641" s="301"/>
      <c r="P641" s="193" t="str">
        <f>IF(R641 = "", "", COUNT(R$4:$R641))</f>
        <v/>
      </c>
      <c r="Q641" s="193" t="str">
        <f t="shared" si="91"/>
        <v/>
      </c>
      <c r="R641" s="194" t="str">
        <f t="shared" si="92"/>
        <v/>
      </c>
      <c r="S641" s="195" t="str">
        <f t="shared" si="94"/>
        <v/>
      </c>
      <c r="T641" s="196" t="str">
        <f t="shared" si="95"/>
        <v/>
      </c>
      <c r="U641" s="197" t="str">
        <f t="shared" si="96"/>
        <v/>
      </c>
      <c r="V641" s="198" t="str">
        <f t="shared" si="93"/>
        <v/>
      </c>
      <c r="W641" s="339" t="str">
        <f t="shared" si="97"/>
        <v/>
      </c>
      <c r="X641" s="341" t="str">
        <f t="shared" si="98"/>
        <v/>
      </c>
      <c r="Y641" s="277"/>
      <c r="AR641" t="str">
        <f t="shared" si="99"/>
        <v/>
      </c>
      <c r="AS641" t="str">
        <f t="shared" si="100"/>
        <v/>
      </c>
    </row>
    <row r="642" spans="1:45">
      <c r="A642" s="294"/>
      <c r="B642" s="295"/>
      <c r="C642" s="296"/>
      <c r="D642" s="296"/>
      <c r="E642" s="296"/>
      <c r="F642" s="296"/>
      <c r="G642" s="297"/>
      <c r="H642" s="303"/>
      <c r="I642" s="298"/>
      <c r="J642" s="298"/>
      <c r="K642" s="299"/>
      <c r="L642" s="304"/>
      <c r="M642" s="300"/>
      <c r="N642" s="301"/>
      <c r="P642" s="193" t="str">
        <f>IF(R642 = "", "", COUNT(R$4:$R642))</f>
        <v/>
      </c>
      <c r="Q642" s="193" t="str">
        <f t="shared" si="91"/>
        <v/>
      </c>
      <c r="R642" s="194" t="str">
        <f t="shared" si="92"/>
        <v/>
      </c>
      <c r="S642" s="195" t="str">
        <f t="shared" si="94"/>
        <v/>
      </c>
      <c r="T642" s="196" t="str">
        <f t="shared" si="95"/>
        <v/>
      </c>
      <c r="U642" s="197" t="str">
        <f t="shared" si="96"/>
        <v/>
      </c>
      <c r="V642" s="198" t="str">
        <f t="shared" si="93"/>
        <v/>
      </c>
      <c r="W642" s="339" t="str">
        <f t="shared" si="97"/>
        <v/>
      </c>
      <c r="X642" s="341" t="str">
        <f t="shared" si="98"/>
        <v/>
      </c>
      <c r="Y642" s="277"/>
      <c r="AR642" t="str">
        <f t="shared" si="99"/>
        <v/>
      </c>
      <c r="AS642" t="str">
        <f t="shared" si="100"/>
        <v/>
      </c>
    </row>
    <row r="643" spans="1:45">
      <c r="A643" s="294"/>
      <c r="B643" s="295"/>
      <c r="C643" s="296"/>
      <c r="D643" s="296"/>
      <c r="E643" s="296"/>
      <c r="F643" s="296"/>
      <c r="G643" s="297"/>
      <c r="H643" s="303"/>
      <c r="I643" s="298"/>
      <c r="J643" s="298"/>
      <c r="K643" s="299"/>
      <c r="L643" s="304"/>
      <c r="M643" s="300"/>
      <c r="N643" s="301"/>
      <c r="P643" s="193" t="str">
        <f>IF(R643 = "", "", COUNT(R$4:$R643))</f>
        <v/>
      </c>
      <c r="Q643" s="193" t="str">
        <f t="shared" si="91"/>
        <v/>
      </c>
      <c r="R643" s="194" t="str">
        <f t="shared" si="92"/>
        <v/>
      </c>
      <c r="S643" s="195" t="str">
        <f t="shared" si="94"/>
        <v/>
      </c>
      <c r="T643" s="196" t="str">
        <f t="shared" si="95"/>
        <v/>
      </c>
      <c r="U643" s="197" t="str">
        <f t="shared" si="96"/>
        <v/>
      </c>
      <c r="V643" s="198" t="str">
        <f t="shared" si="93"/>
        <v/>
      </c>
      <c r="W643" s="339" t="str">
        <f t="shared" si="97"/>
        <v/>
      </c>
      <c r="X643" s="341" t="str">
        <f t="shared" si="98"/>
        <v/>
      </c>
      <c r="Y643" s="277"/>
      <c r="AR643" t="str">
        <f t="shared" si="99"/>
        <v/>
      </c>
      <c r="AS643" t="str">
        <f t="shared" si="100"/>
        <v/>
      </c>
    </row>
    <row r="644" spans="1:45">
      <c r="A644" s="294"/>
      <c r="B644" s="295"/>
      <c r="C644" s="296"/>
      <c r="D644" s="296"/>
      <c r="E644" s="296"/>
      <c r="F644" s="296"/>
      <c r="G644" s="297"/>
      <c r="H644" s="303"/>
      <c r="I644" s="298"/>
      <c r="J644" s="298"/>
      <c r="K644" s="299"/>
      <c r="L644" s="304"/>
      <c r="M644" s="300"/>
      <c r="N644" s="301"/>
      <c r="P644" s="193" t="str">
        <f>IF(R644 = "", "", COUNT(R$4:$R644))</f>
        <v/>
      </c>
      <c r="Q644" s="193" t="str">
        <f t="shared" ref="Q644:Q707" si="101">IF(C644 &gt; 0, YEAR(B644), "")</f>
        <v/>
      </c>
      <c r="R644" s="194" t="str">
        <f t="shared" ref="R644:R707" si="102">IF(A644="", "", IF(G644="",1,IF(G644="O",1,IF(G644="C",8.4,IF(G644="B",8.4,IF(G644="A",76.8,IF(G644="K",76.8,"ERR")))))))</f>
        <v/>
      </c>
      <c r="S644" s="195" t="str">
        <f t="shared" si="94"/>
        <v/>
      </c>
      <c r="T644" s="196" t="str">
        <f t="shared" si="95"/>
        <v/>
      </c>
      <c r="U644" s="197" t="str">
        <f t="shared" si="96"/>
        <v/>
      </c>
      <c r="V644" s="198" t="str">
        <f t="shared" ref="V644:V707" si="103">IF(IF(M644&lt;&gt;"",G644,"")=0, "O", IF(M644&lt;&gt;"",G644,""))</f>
        <v/>
      </c>
      <c r="W644" s="339" t="str">
        <f t="shared" si="97"/>
        <v/>
      </c>
      <c r="X644" s="341" t="str">
        <f t="shared" si="98"/>
        <v/>
      </c>
      <c r="Y644" s="277"/>
      <c r="AR644" t="str">
        <f t="shared" si="99"/>
        <v/>
      </c>
      <c r="AS644" t="str">
        <f t="shared" si="100"/>
        <v/>
      </c>
    </row>
    <row r="645" spans="1:45">
      <c r="A645" s="294"/>
      <c r="B645" s="295"/>
      <c r="C645" s="296"/>
      <c r="D645" s="296"/>
      <c r="E645" s="296"/>
      <c r="F645" s="296"/>
      <c r="G645" s="297"/>
      <c r="H645" s="303"/>
      <c r="I645" s="298"/>
      <c r="J645" s="298"/>
      <c r="K645" s="299"/>
      <c r="L645" s="304"/>
      <c r="M645" s="300"/>
      <c r="N645" s="301"/>
      <c r="P645" s="193" t="str">
        <f>IF(R645 = "", "", COUNT(R$4:$R645))</f>
        <v/>
      </c>
      <c r="Q645" s="193" t="str">
        <f t="shared" si="101"/>
        <v/>
      </c>
      <c r="R645" s="194" t="str">
        <f t="shared" si="102"/>
        <v/>
      </c>
      <c r="S645" s="195" t="str">
        <f t="shared" ref="S645:S708" si="104">IF(L645&lt;&gt;"",R645,"")</f>
        <v/>
      </c>
      <c r="T645" s="196" t="str">
        <f t="shared" ref="T645:T708" si="105">IF(IF(L645&lt;&gt;"",G645,"")=0, "O", IF(L645&lt;&gt;"",G645,""))</f>
        <v/>
      </c>
      <c r="U645" s="197" t="str">
        <f t="shared" ref="U645:U708" si="106">IF(M645&lt;&gt;"",R645,"")</f>
        <v/>
      </c>
      <c r="V645" s="198" t="str">
        <f t="shared" si="103"/>
        <v/>
      </c>
      <c r="W645" s="339" t="str">
        <f t="shared" ref="W645:W708" si="107">IF(N645&lt;&gt;"",R645,"")</f>
        <v/>
      </c>
      <c r="X645" s="341" t="str">
        <f t="shared" ref="X645:X708" si="108">IF(IF(N645&lt;&gt;"",G645,"")=0, "O", IF(N645&lt;&gt;"",G645,""))</f>
        <v/>
      </c>
      <c r="Y645" s="277"/>
      <c r="AR645" t="str">
        <f t="shared" ref="AR645:AR708" si="109">IF(P645&gt;0, P645, "")</f>
        <v/>
      </c>
      <c r="AS645" t="str">
        <f t="shared" ref="AS645:AS708" si="110">IF(OR(L645="Y",M645="Y",N645="Y"),"Y","")</f>
        <v/>
      </c>
    </row>
    <row r="646" spans="1:45">
      <c r="A646" s="294"/>
      <c r="B646" s="295"/>
      <c r="C646" s="296"/>
      <c r="D646" s="296"/>
      <c r="E646" s="296"/>
      <c r="F646" s="296"/>
      <c r="G646" s="297"/>
      <c r="H646" s="303"/>
      <c r="I646" s="298"/>
      <c r="J646" s="298"/>
      <c r="K646" s="299"/>
      <c r="L646" s="304"/>
      <c r="M646" s="300"/>
      <c r="N646" s="301"/>
      <c r="P646" s="193" t="str">
        <f>IF(R646 = "", "", COUNT(R$4:$R646))</f>
        <v/>
      </c>
      <c r="Q646" s="193" t="str">
        <f t="shared" si="101"/>
        <v/>
      </c>
      <c r="R646" s="194" t="str">
        <f t="shared" si="102"/>
        <v/>
      </c>
      <c r="S646" s="195" t="str">
        <f t="shared" si="104"/>
        <v/>
      </c>
      <c r="T646" s="196" t="str">
        <f t="shared" si="105"/>
        <v/>
      </c>
      <c r="U646" s="197" t="str">
        <f t="shared" si="106"/>
        <v/>
      </c>
      <c r="V646" s="198" t="str">
        <f t="shared" si="103"/>
        <v/>
      </c>
      <c r="W646" s="339" t="str">
        <f t="shared" si="107"/>
        <v/>
      </c>
      <c r="X646" s="341" t="str">
        <f t="shared" si="108"/>
        <v/>
      </c>
      <c r="Y646" s="277"/>
      <c r="AR646" t="str">
        <f t="shared" si="109"/>
        <v/>
      </c>
      <c r="AS646" t="str">
        <f t="shared" si="110"/>
        <v/>
      </c>
    </row>
    <row r="647" spans="1:45">
      <c r="A647" s="294"/>
      <c r="B647" s="295"/>
      <c r="C647" s="296"/>
      <c r="D647" s="296"/>
      <c r="E647" s="296"/>
      <c r="F647" s="296"/>
      <c r="G647" s="297"/>
      <c r="H647" s="303"/>
      <c r="I647" s="298"/>
      <c r="J647" s="298"/>
      <c r="K647" s="299"/>
      <c r="L647" s="304"/>
      <c r="M647" s="300"/>
      <c r="N647" s="301"/>
      <c r="P647" s="193" t="str">
        <f>IF(R647 = "", "", COUNT(R$4:$R647))</f>
        <v/>
      </c>
      <c r="Q647" s="193" t="str">
        <f t="shared" si="101"/>
        <v/>
      </c>
      <c r="R647" s="194" t="str">
        <f t="shared" si="102"/>
        <v/>
      </c>
      <c r="S647" s="195" t="str">
        <f t="shared" si="104"/>
        <v/>
      </c>
      <c r="T647" s="196" t="str">
        <f t="shared" si="105"/>
        <v/>
      </c>
      <c r="U647" s="197" t="str">
        <f t="shared" si="106"/>
        <v/>
      </c>
      <c r="V647" s="198" t="str">
        <f t="shared" si="103"/>
        <v/>
      </c>
      <c r="W647" s="339" t="str">
        <f t="shared" si="107"/>
        <v/>
      </c>
      <c r="X647" s="341" t="str">
        <f t="shared" si="108"/>
        <v/>
      </c>
      <c r="Y647" s="277"/>
      <c r="AR647" t="str">
        <f t="shared" si="109"/>
        <v/>
      </c>
      <c r="AS647" t="str">
        <f t="shared" si="110"/>
        <v/>
      </c>
    </row>
    <row r="648" spans="1:45">
      <c r="A648" s="294"/>
      <c r="B648" s="295"/>
      <c r="C648" s="296"/>
      <c r="D648" s="296"/>
      <c r="E648" s="296"/>
      <c r="F648" s="296"/>
      <c r="G648" s="297"/>
      <c r="H648" s="303"/>
      <c r="I648" s="298"/>
      <c r="J648" s="298"/>
      <c r="K648" s="299"/>
      <c r="L648" s="304"/>
      <c r="M648" s="300"/>
      <c r="N648" s="301"/>
      <c r="P648" s="193" t="str">
        <f>IF(R648 = "", "", COUNT(R$4:$R648))</f>
        <v/>
      </c>
      <c r="Q648" s="193" t="str">
        <f t="shared" si="101"/>
        <v/>
      </c>
      <c r="R648" s="194" t="str">
        <f t="shared" si="102"/>
        <v/>
      </c>
      <c r="S648" s="195" t="str">
        <f t="shared" si="104"/>
        <v/>
      </c>
      <c r="T648" s="196" t="str">
        <f t="shared" si="105"/>
        <v/>
      </c>
      <c r="U648" s="197" t="str">
        <f t="shared" si="106"/>
        <v/>
      </c>
      <c r="V648" s="198" t="str">
        <f t="shared" si="103"/>
        <v/>
      </c>
      <c r="W648" s="339" t="str">
        <f t="shared" si="107"/>
        <v/>
      </c>
      <c r="X648" s="341" t="str">
        <f t="shared" si="108"/>
        <v/>
      </c>
      <c r="Y648" s="277"/>
      <c r="AR648" t="str">
        <f t="shared" si="109"/>
        <v/>
      </c>
      <c r="AS648" t="str">
        <f t="shared" si="110"/>
        <v/>
      </c>
    </row>
    <row r="649" spans="1:45">
      <c r="A649" s="294"/>
      <c r="B649" s="295"/>
      <c r="C649" s="296"/>
      <c r="D649" s="296"/>
      <c r="E649" s="296"/>
      <c r="F649" s="296"/>
      <c r="G649" s="297"/>
      <c r="H649" s="303"/>
      <c r="I649" s="298"/>
      <c r="J649" s="298"/>
      <c r="K649" s="299"/>
      <c r="L649" s="304"/>
      <c r="M649" s="300"/>
      <c r="N649" s="301"/>
      <c r="P649" s="193" t="str">
        <f>IF(R649 = "", "", COUNT(R$4:$R649))</f>
        <v/>
      </c>
      <c r="Q649" s="193" t="str">
        <f t="shared" si="101"/>
        <v/>
      </c>
      <c r="R649" s="194" t="str">
        <f t="shared" si="102"/>
        <v/>
      </c>
      <c r="S649" s="195" t="str">
        <f t="shared" si="104"/>
        <v/>
      </c>
      <c r="T649" s="196" t="str">
        <f t="shared" si="105"/>
        <v/>
      </c>
      <c r="U649" s="197" t="str">
        <f t="shared" si="106"/>
        <v/>
      </c>
      <c r="V649" s="198" t="str">
        <f t="shared" si="103"/>
        <v/>
      </c>
      <c r="W649" s="339" t="str">
        <f t="shared" si="107"/>
        <v/>
      </c>
      <c r="X649" s="341" t="str">
        <f t="shared" si="108"/>
        <v/>
      </c>
      <c r="Y649" s="277"/>
      <c r="AR649" t="str">
        <f t="shared" si="109"/>
        <v/>
      </c>
      <c r="AS649" t="str">
        <f t="shared" si="110"/>
        <v/>
      </c>
    </row>
    <row r="650" spans="1:45">
      <c r="A650" s="294"/>
      <c r="B650" s="295"/>
      <c r="C650" s="296"/>
      <c r="D650" s="296"/>
      <c r="E650" s="296"/>
      <c r="F650" s="296"/>
      <c r="G650" s="297"/>
      <c r="H650" s="303"/>
      <c r="I650" s="298"/>
      <c r="J650" s="298"/>
      <c r="K650" s="299"/>
      <c r="L650" s="304"/>
      <c r="M650" s="300"/>
      <c r="N650" s="301"/>
      <c r="P650" s="193" t="str">
        <f>IF(R650 = "", "", COUNT(R$4:$R650))</f>
        <v/>
      </c>
      <c r="Q650" s="193" t="str">
        <f t="shared" si="101"/>
        <v/>
      </c>
      <c r="R650" s="194" t="str">
        <f t="shared" si="102"/>
        <v/>
      </c>
      <c r="S650" s="195" t="str">
        <f t="shared" si="104"/>
        <v/>
      </c>
      <c r="T650" s="196" t="str">
        <f t="shared" si="105"/>
        <v/>
      </c>
      <c r="U650" s="197" t="str">
        <f t="shared" si="106"/>
        <v/>
      </c>
      <c r="V650" s="198" t="str">
        <f t="shared" si="103"/>
        <v/>
      </c>
      <c r="W650" s="339" t="str">
        <f t="shared" si="107"/>
        <v/>
      </c>
      <c r="X650" s="341" t="str">
        <f t="shared" si="108"/>
        <v/>
      </c>
      <c r="Y650" s="277"/>
      <c r="AR650" t="str">
        <f t="shared" si="109"/>
        <v/>
      </c>
      <c r="AS650" t="str">
        <f t="shared" si="110"/>
        <v/>
      </c>
    </row>
    <row r="651" spans="1:45">
      <c r="A651" s="294"/>
      <c r="B651" s="295"/>
      <c r="C651" s="296"/>
      <c r="D651" s="296"/>
      <c r="E651" s="296"/>
      <c r="F651" s="296"/>
      <c r="G651" s="297"/>
      <c r="H651" s="303"/>
      <c r="I651" s="298"/>
      <c r="J651" s="298"/>
      <c r="K651" s="299"/>
      <c r="L651" s="304"/>
      <c r="M651" s="300"/>
      <c r="N651" s="301"/>
      <c r="P651" s="193" t="str">
        <f>IF(R651 = "", "", COUNT(R$4:$R651))</f>
        <v/>
      </c>
      <c r="Q651" s="193" t="str">
        <f t="shared" si="101"/>
        <v/>
      </c>
      <c r="R651" s="194" t="str">
        <f t="shared" si="102"/>
        <v/>
      </c>
      <c r="S651" s="195" t="str">
        <f t="shared" si="104"/>
        <v/>
      </c>
      <c r="T651" s="196" t="str">
        <f t="shared" si="105"/>
        <v/>
      </c>
      <c r="U651" s="197" t="str">
        <f t="shared" si="106"/>
        <v/>
      </c>
      <c r="V651" s="198" t="str">
        <f t="shared" si="103"/>
        <v/>
      </c>
      <c r="W651" s="339" t="str">
        <f t="shared" si="107"/>
        <v/>
      </c>
      <c r="X651" s="341" t="str">
        <f t="shared" si="108"/>
        <v/>
      </c>
      <c r="Y651" s="277"/>
      <c r="AR651" t="str">
        <f t="shared" si="109"/>
        <v/>
      </c>
      <c r="AS651" t="str">
        <f t="shared" si="110"/>
        <v/>
      </c>
    </row>
    <row r="652" spans="1:45">
      <c r="A652" s="294"/>
      <c r="B652" s="295"/>
      <c r="C652" s="296"/>
      <c r="D652" s="296"/>
      <c r="E652" s="296"/>
      <c r="F652" s="296"/>
      <c r="G652" s="297"/>
      <c r="H652" s="303"/>
      <c r="I652" s="298"/>
      <c r="J652" s="298"/>
      <c r="K652" s="299"/>
      <c r="L652" s="304"/>
      <c r="M652" s="300"/>
      <c r="N652" s="301"/>
      <c r="P652" s="193" t="str">
        <f>IF(R652 = "", "", COUNT(R$4:$R652))</f>
        <v/>
      </c>
      <c r="Q652" s="193" t="str">
        <f t="shared" si="101"/>
        <v/>
      </c>
      <c r="R652" s="194" t="str">
        <f t="shared" si="102"/>
        <v/>
      </c>
      <c r="S652" s="195" t="str">
        <f t="shared" si="104"/>
        <v/>
      </c>
      <c r="T652" s="196" t="str">
        <f t="shared" si="105"/>
        <v/>
      </c>
      <c r="U652" s="197" t="str">
        <f t="shared" si="106"/>
        <v/>
      </c>
      <c r="V652" s="198" t="str">
        <f t="shared" si="103"/>
        <v/>
      </c>
      <c r="W652" s="339" t="str">
        <f t="shared" si="107"/>
        <v/>
      </c>
      <c r="X652" s="341" t="str">
        <f t="shared" si="108"/>
        <v/>
      </c>
      <c r="Y652" s="277"/>
      <c r="AR652" t="str">
        <f t="shared" si="109"/>
        <v/>
      </c>
      <c r="AS652" t="str">
        <f t="shared" si="110"/>
        <v/>
      </c>
    </row>
    <row r="653" spans="1:45">
      <c r="A653" s="294"/>
      <c r="B653" s="295"/>
      <c r="C653" s="296"/>
      <c r="D653" s="296"/>
      <c r="E653" s="296"/>
      <c r="F653" s="296"/>
      <c r="G653" s="297"/>
      <c r="H653" s="303"/>
      <c r="I653" s="298"/>
      <c r="J653" s="298"/>
      <c r="K653" s="299"/>
      <c r="L653" s="304"/>
      <c r="M653" s="300"/>
      <c r="N653" s="301"/>
      <c r="P653" s="193" t="str">
        <f>IF(R653 = "", "", COUNT(R$4:$R653))</f>
        <v/>
      </c>
      <c r="Q653" s="193" t="str">
        <f t="shared" si="101"/>
        <v/>
      </c>
      <c r="R653" s="194" t="str">
        <f t="shared" si="102"/>
        <v/>
      </c>
      <c r="S653" s="195" t="str">
        <f t="shared" si="104"/>
        <v/>
      </c>
      <c r="T653" s="196" t="str">
        <f t="shared" si="105"/>
        <v/>
      </c>
      <c r="U653" s="197" t="str">
        <f t="shared" si="106"/>
        <v/>
      </c>
      <c r="V653" s="198" t="str">
        <f t="shared" si="103"/>
        <v/>
      </c>
      <c r="W653" s="339" t="str">
        <f t="shared" si="107"/>
        <v/>
      </c>
      <c r="X653" s="341" t="str">
        <f t="shared" si="108"/>
        <v/>
      </c>
      <c r="Y653" s="277"/>
      <c r="AR653" t="str">
        <f t="shared" si="109"/>
        <v/>
      </c>
      <c r="AS653" t="str">
        <f t="shared" si="110"/>
        <v/>
      </c>
    </row>
    <row r="654" spans="1:45">
      <c r="A654" s="294"/>
      <c r="B654" s="295"/>
      <c r="C654" s="296"/>
      <c r="D654" s="296"/>
      <c r="E654" s="296"/>
      <c r="F654" s="296"/>
      <c r="G654" s="297"/>
      <c r="H654" s="303"/>
      <c r="I654" s="298"/>
      <c r="J654" s="298"/>
      <c r="K654" s="299"/>
      <c r="L654" s="304"/>
      <c r="M654" s="300"/>
      <c r="N654" s="301"/>
      <c r="P654" s="193" t="str">
        <f>IF(R654 = "", "", COUNT(R$4:$R654))</f>
        <v/>
      </c>
      <c r="Q654" s="193" t="str">
        <f t="shared" si="101"/>
        <v/>
      </c>
      <c r="R654" s="194" t="str">
        <f t="shared" si="102"/>
        <v/>
      </c>
      <c r="S654" s="195" t="str">
        <f t="shared" si="104"/>
        <v/>
      </c>
      <c r="T654" s="196" t="str">
        <f t="shared" si="105"/>
        <v/>
      </c>
      <c r="U654" s="197" t="str">
        <f t="shared" si="106"/>
        <v/>
      </c>
      <c r="V654" s="198" t="str">
        <f t="shared" si="103"/>
        <v/>
      </c>
      <c r="W654" s="339" t="str">
        <f t="shared" si="107"/>
        <v/>
      </c>
      <c r="X654" s="341" t="str">
        <f t="shared" si="108"/>
        <v/>
      </c>
      <c r="Y654" s="277"/>
      <c r="AR654" t="str">
        <f t="shared" si="109"/>
        <v/>
      </c>
      <c r="AS654" t="str">
        <f t="shared" si="110"/>
        <v/>
      </c>
    </row>
    <row r="655" spans="1:45">
      <c r="A655" s="294"/>
      <c r="B655" s="295"/>
      <c r="C655" s="296"/>
      <c r="D655" s="296"/>
      <c r="E655" s="296"/>
      <c r="F655" s="296"/>
      <c r="G655" s="297"/>
      <c r="H655" s="303"/>
      <c r="I655" s="298"/>
      <c r="J655" s="298"/>
      <c r="K655" s="299"/>
      <c r="L655" s="304"/>
      <c r="M655" s="300"/>
      <c r="N655" s="301"/>
      <c r="P655" s="193" t="str">
        <f>IF(R655 = "", "", COUNT(R$4:$R655))</f>
        <v/>
      </c>
      <c r="Q655" s="193" t="str">
        <f t="shared" si="101"/>
        <v/>
      </c>
      <c r="R655" s="194" t="str">
        <f t="shared" si="102"/>
        <v/>
      </c>
      <c r="S655" s="195" t="str">
        <f t="shared" si="104"/>
        <v/>
      </c>
      <c r="T655" s="196" t="str">
        <f t="shared" si="105"/>
        <v/>
      </c>
      <c r="U655" s="197" t="str">
        <f t="shared" si="106"/>
        <v/>
      </c>
      <c r="V655" s="198" t="str">
        <f t="shared" si="103"/>
        <v/>
      </c>
      <c r="W655" s="339" t="str">
        <f t="shared" si="107"/>
        <v/>
      </c>
      <c r="X655" s="341" t="str">
        <f t="shared" si="108"/>
        <v/>
      </c>
      <c r="Y655" s="277"/>
      <c r="AR655" t="str">
        <f t="shared" si="109"/>
        <v/>
      </c>
      <c r="AS655" t="str">
        <f t="shared" si="110"/>
        <v/>
      </c>
    </row>
    <row r="656" spans="1:45">
      <c r="A656" s="294"/>
      <c r="B656" s="295"/>
      <c r="C656" s="296"/>
      <c r="D656" s="296"/>
      <c r="E656" s="296"/>
      <c r="F656" s="296"/>
      <c r="G656" s="297"/>
      <c r="H656" s="303"/>
      <c r="I656" s="298"/>
      <c r="J656" s="298"/>
      <c r="K656" s="299"/>
      <c r="L656" s="304"/>
      <c r="M656" s="300"/>
      <c r="N656" s="301"/>
      <c r="P656" s="193" t="str">
        <f>IF(R656 = "", "", COUNT(R$4:$R656))</f>
        <v/>
      </c>
      <c r="Q656" s="193" t="str">
        <f t="shared" si="101"/>
        <v/>
      </c>
      <c r="R656" s="194" t="str">
        <f t="shared" si="102"/>
        <v/>
      </c>
      <c r="S656" s="195" t="str">
        <f t="shared" si="104"/>
        <v/>
      </c>
      <c r="T656" s="196" t="str">
        <f t="shared" si="105"/>
        <v/>
      </c>
      <c r="U656" s="197" t="str">
        <f t="shared" si="106"/>
        <v/>
      </c>
      <c r="V656" s="198" t="str">
        <f t="shared" si="103"/>
        <v/>
      </c>
      <c r="W656" s="339" t="str">
        <f t="shared" si="107"/>
        <v/>
      </c>
      <c r="X656" s="341" t="str">
        <f t="shared" si="108"/>
        <v/>
      </c>
      <c r="Y656" s="277"/>
      <c r="AR656" t="str">
        <f t="shared" si="109"/>
        <v/>
      </c>
      <c r="AS656" t="str">
        <f t="shared" si="110"/>
        <v/>
      </c>
    </row>
    <row r="657" spans="1:45">
      <c r="A657" s="294"/>
      <c r="B657" s="295"/>
      <c r="C657" s="296"/>
      <c r="D657" s="296"/>
      <c r="E657" s="296"/>
      <c r="F657" s="296"/>
      <c r="G657" s="297"/>
      <c r="H657" s="303"/>
      <c r="I657" s="298"/>
      <c r="J657" s="298"/>
      <c r="K657" s="299"/>
      <c r="L657" s="304"/>
      <c r="M657" s="300"/>
      <c r="N657" s="301"/>
      <c r="P657" s="193" t="str">
        <f>IF(R657 = "", "", COUNT(R$4:$R657))</f>
        <v/>
      </c>
      <c r="Q657" s="193" t="str">
        <f t="shared" si="101"/>
        <v/>
      </c>
      <c r="R657" s="194" t="str">
        <f t="shared" si="102"/>
        <v/>
      </c>
      <c r="S657" s="195" t="str">
        <f t="shared" si="104"/>
        <v/>
      </c>
      <c r="T657" s="196" t="str">
        <f t="shared" si="105"/>
        <v/>
      </c>
      <c r="U657" s="197" t="str">
        <f t="shared" si="106"/>
        <v/>
      </c>
      <c r="V657" s="198" t="str">
        <f t="shared" si="103"/>
        <v/>
      </c>
      <c r="W657" s="339" t="str">
        <f t="shared" si="107"/>
        <v/>
      </c>
      <c r="X657" s="341" t="str">
        <f t="shared" si="108"/>
        <v/>
      </c>
      <c r="Y657" s="277"/>
      <c r="AR657" t="str">
        <f t="shared" si="109"/>
        <v/>
      </c>
      <c r="AS657" t="str">
        <f t="shared" si="110"/>
        <v/>
      </c>
    </row>
    <row r="658" spans="1:45">
      <c r="A658" s="294"/>
      <c r="B658" s="295"/>
      <c r="C658" s="296"/>
      <c r="D658" s="296"/>
      <c r="E658" s="296"/>
      <c r="F658" s="296"/>
      <c r="G658" s="297"/>
      <c r="H658" s="303"/>
      <c r="I658" s="298"/>
      <c r="J658" s="298"/>
      <c r="K658" s="299"/>
      <c r="L658" s="304"/>
      <c r="M658" s="300"/>
      <c r="N658" s="301"/>
      <c r="P658" s="193" t="str">
        <f>IF(R658 = "", "", COUNT(R$4:$R658))</f>
        <v/>
      </c>
      <c r="Q658" s="193" t="str">
        <f t="shared" si="101"/>
        <v/>
      </c>
      <c r="R658" s="194" t="str">
        <f t="shared" si="102"/>
        <v/>
      </c>
      <c r="S658" s="195" t="str">
        <f t="shared" si="104"/>
        <v/>
      </c>
      <c r="T658" s="196" t="str">
        <f t="shared" si="105"/>
        <v/>
      </c>
      <c r="U658" s="197" t="str">
        <f t="shared" si="106"/>
        <v/>
      </c>
      <c r="V658" s="198" t="str">
        <f t="shared" si="103"/>
        <v/>
      </c>
      <c r="W658" s="339" t="str">
        <f t="shared" si="107"/>
        <v/>
      </c>
      <c r="X658" s="341" t="str">
        <f t="shared" si="108"/>
        <v/>
      </c>
      <c r="Y658" s="277"/>
      <c r="AR658" t="str">
        <f t="shared" si="109"/>
        <v/>
      </c>
      <c r="AS658" t="str">
        <f t="shared" si="110"/>
        <v/>
      </c>
    </row>
    <row r="659" spans="1:45">
      <c r="A659" s="294"/>
      <c r="B659" s="295"/>
      <c r="C659" s="296"/>
      <c r="D659" s="296"/>
      <c r="E659" s="296"/>
      <c r="F659" s="296"/>
      <c r="G659" s="297"/>
      <c r="H659" s="303"/>
      <c r="I659" s="298"/>
      <c r="J659" s="298"/>
      <c r="K659" s="299"/>
      <c r="L659" s="304"/>
      <c r="M659" s="300"/>
      <c r="N659" s="301"/>
      <c r="P659" s="193" t="str">
        <f>IF(R659 = "", "", COUNT(R$4:$R659))</f>
        <v/>
      </c>
      <c r="Q659" s="193" t="str">
        <f t="shared" si="101"/>
        <v/>
      </c>
      <c r="R659" s="194" t="str">
        <f t="shared" si="102"/>
        <v/>
      </c>
      <c r="S659" s="195" t="str">
        <f t="shared" si="104"/>
        <v/>
      </c>
      <c r="T659" s="196" t="str">
        <f t="shared" si="105"/>
        <v/>
      </c>
      <c r="U659" s="197" t="str">
        <f t="shared" si="106"/>
        <v/>
      </c>
      <c r="V659" s="198" t="str">
        <f t="shared" si="103"/>
        <v/>
      </c>
      <c r="W659" s="339" t="str">
        <f t="shared" si="107"/>
        <v/>
      </c>
      <c r="X659" s="341" t="str">
        <f t="shared" si="108"/>
        <v/>
      </c>
      <c r="Y659" s="277"/>
      <c r="AR659" t="str">
        <f t="shared" si="109"/>
        <v/>
      </c>
      <c r="AS659" t="str">
        <f t="shared" si="110"/>
        <v/>
      </c>
    </row>
    <row r="660" spans="1:45">
      <c r="A660" s="294"/>
      <c r="B660" s="295"/>
      <c r="C660" s="296"/>
      <c r="D660" s="296"/>
      <c r="E660" s="296"/>
      <c r="F660" s="296"/>
      <c r="G660" s="297"/>
      <c r="H660" s="303"/>
      <c r="I660" s="298"/>
      <c r="J660" s="298"/>
      <c r="K660" s="299"/>
      <c r="L660" s="304"/>
      <c r="M660" s="300"/>
      <c r="N660" s="301"/>
      <c r="P660" s="193" t="str">
        <f>IF(R660 = "", "", COUNT(R$4:$R660))</f>
        <v/>
      </c>
      <c r="Q660" s="193" t="str">
        <f t="shared" si="101"/>
        <v/>
      </c>
      <c r="R660" s="194" t="str">
        <f t="shared" si="102"/>
        <v/>
      </c>
      <c r="S660" s="195" t="str">
        <f t="shared" si="104"/>
        <v/>
      </c>
      <c r="T660" s="196" t="str">
        <f t="shared" si="105"/>
        <v/>
      </c>
      <c r="U660" s="197" t="str">
        <f t="shared" si="106"/>
        <v/>
      </c>
      <c r="V660" s="198" t="str">
        <f t="shared" si="103"/>
        <v/>
      </c>
      <c r="W660" s="339" t="str">
        <f t="shared" si="107"/>
        <v/>
      </c>
      <c r="X660" s="341" t="str">
        <f t="shared" si="108"/>
        <v/>
      </c>
      <c r="Y660" s="277"/>
      <c r="AR660" t="str">
        <f t="shared" si="109"/>
        <v/>
      </c>
      <c r="AS660" t="str">
        <f t="shared" si="110"/>
        <v/>
      </c>
    </row>
    <row r="661" spans="1:45">
      <c r="A661" s="294"/>
      <c r="B661" s="295"/>
      <c r="C661" s="296"/>
      <c r="D661" s="296"/>
      <c r="E661" s="296"/>
      <c r="F661" s="296"/>
      <c r="G661" s="297"/>
      <c r="H661" s="303"/>
      <c r="I661" s="298"/>
      <c r="J661" s="298"/>
      <c r="K661" s="299"/>
      <c r="L661" s="304"/>
      <c r="M661" s="300"/>
      <c r="N661" s="301"/>
      <c r="P661" s="193" t="str">
        <f>IF(R661 = "", "", COUNT(R$4:$R661))</f>
        <v/>
      </c>
      <c r="Q661" s="193" t="str">
        <f t="shared" si="101"/>
        <v/>
      </c>
      <c r="R661" s="194" t="str">
        <f t="shared" si="102"/>
        <v/>
      </c>
      <c r="S661" s="195" t="str">
        <f t="shared" si="104"/>
        <v/>
      </c>
      <c r="T661" s="196" t="str">
        <f t="shared" si="105"/>
        <v/>
      </c>
      <c r="U661" s="197" t="str">
        <f t="shared" si="106"/>
        <v/>
      </c>
      <c r="V661" s="198" t="str">
        <f t="shared" si="103"/>
        <v/>
      </c>
      <c r="W661" s="339" t="str">
        <f t="shared" si="107"/>
        <v/>
      </c>
      <c r="X661" s="341" t="str">
        <f t="shared" si="108"/>
        <v/>
      </c>
      <c r="Y661" s="277"/>
      <c r="AR661" t="str">
        <f t="shared" si="109"/>
        <v/>
      </c>
      <c r="AS661" t="str">
        <f t="shared" si="110"/>
        <v/>
      </c>
    </row>
    <row r="662" spans="1:45">
      <c r="A662" s="294"/>
      <c r="B662" s="295"/>
      <c r="C662" s="296"/>
      <c r="D662" s="296"/>
      <c r="E662" s="296"/>
      <c r="F662" s="296"/>
      <c r="G662" s="297"/>
      <c r="H662" s="303"/>
      <c r="I662" s="298"/>
      <c r="J662" s="298"/>
      <c r="K662" s="299"/>
      <c r="L662" s="304"/>
      <c r="M662" s="300"/>
      <c r="N662" s="301"/>
      <c r="P662" s="193" t="str">
        <f>IF(R662 = "", "", COUNT(R$4:$R662))</f>
        <v/>
      </c>
      <c r="Q662" s="193" t="str">
        <f t="shared" si="101"/>
        <v/>
      </c>
      <c r="R662" s="194" t="str">
        <f t="shared" si="102"/>
        <v/>
      </c>
      <c r="S662" s="195" t="str">
        <f t="shared" si="104"/>
        <v/>
      </c>
      <c r="T662" s="196" t="str">
        <f t="shared" si="105"/>
        <v/>
      </c>
      <c r="U662" s="197" t="str">
        <f t="shared" si="106"/>
        <v/>
      </c>
      <c r="V662" s="198" t="str">
        <f t="shared" si="103"/>
        <v/>
      </c>
      <c r="W662" s="339" t="str">
        <f t="shared" si="107"/>
        <v/>
      </c>
      <c r="X662" s="341" t="str">
        <f t="shared" si="108"/>
        <v/>
      </c>
      <c r="Y662" s="277"/>
      <c r="AR662" t="str">
        <f t="shared" si="109"/>
        <v/>
      </c>
      <c r="AS662" t="str">
        <f t="shared" si="110"/>
        <v/>
      </c>
    </row>
    <row r="663" spans="1:45">
      <c r="A663" s="294"/>
      <c r="B663" s="295"/>
      <c r="C663" s="296"/>
      <c r="D663" s="296"/>
      <c r="E663" s="296"/>
      <c r="F663" s="296"/>
      <c r="G663" s="297"/>
      <c r="H663" s="303"/>
      <c r="I663" s="298"/>
      <c r="J663" s="298"/>
      <c r="K663" s="299"/>
      <c r="L663" s="304"/>
      <c r="M663" s="300"/>
      <c r="N663" s="301"/>
      <c r="P663" s="193" t="str">
        <f>IF(R663 = "", "", COUNT(R$4:$R663))</f>
        <v/>
      </c>
      <c r="Q663" s="193" t="str">
        <f t="shared" si="101"/>
        <v/>
      </c>
      <c r="R663" s="194" t="str">
        <f t="shared" si="102"/>
        <v/>
      </c>
      <c r="S663" s="195" t="str">
        <f t="shared" si="104"/>
        <v/>
      </c>
      <c r="T663" s="196" t="str">
        <f t="shared" si="105"/>
        <v/>
      </c>
      <c r="U663" s="197" t="str">
        <f t="shared" si="106"/>
        <v/>
      </c>
      <c r="V663" s="198" t="str">
        <f t="shared" si="103"/>
        <v/>
      </c>
      <c r="W663" s="339" t="str">
        <f t="shared" si="107"/>
        <v/>
      </c>
      <c r="X663" s="341" t="str">
        <f t="shared" si="108"/>
        <v/>
      </c>
      <c r="Y663" s="277"/>
      <c r="AR663" t="str">
        <f t="shared" si="109"/>
        <v/>
      </c>
      <c r="AS663" t="str">
        <f t="shared" si="110"/>
        <v/>
      </c>
    </row>
    <row r="664" spans="1:45">
      <c r="A664" s="294"/>
      <c r="B664" s="295"/>
      <c r="C664" s="296"/>
      <c r="D664" s="296"/>
      <c r="E664" s="296"/>
      <c r="F664" s="296"/>
      <c r="G664" s="297"/>
      <c r="H664" s="303"/>
      <c r="I664" s="298"/>
      <c r="J664" s="298"/>
      <c r="K664" s="299"/>
      <c r="L664" s="304"/>
      <c r="M664" s="300"/>
      <c r="N664" s="301"/>
      <c r="P664" s="193" t="str">
        <f>IF(R664 = "", "", COUNT(R$4:$R664))</f>
        <v/>
      </c>
      <c r="Q664" s="193" t="str">
        <f t="shared" si="101"/>
        <v/>
      </c>
      <c r="R664" s="194" t="str">
        <f t="shared" si="102"/>
        <v/>
      </c>
      <c r="S664" s="195" t="str">
        <f t="shared" si="104"/>
        <v/>
      </c>
      <c r="T664" s="196" t="str">
        <f t="shared" si="105"/>
        <v/>
      </c>
      <c r="U664" s="197" t="str">
        <f t="shared" si="106"/>
        <v/>
      </c>
      <c r="V664" s="198" t="str">
        <f t="shared" si="103"/>
        <v/>
      </c>
      <c r="W664" s="339" t="str">
        <f t="shared" si="107"/>
        <v/>
      </c>
      <c r="X664" s="341" t="str">
        <f t="shared" si="108"/>
        <v/>
      </c>
      <c r="Y664" s="277"/>
      <c r="AR664" t="str">
        <f t="shared" si="109"/>
        <v/>
      </c>
      <c r="AS664" t="str">
        <f t="shared" si="110"/>
        <v/>
      </c>
    </row>
    <row r="665" spans="1:45">
      <c r="A665" s="294"/>
      <c r="B665" s="295"/>
      <c r="C665" s="296"/>
      <c r="D665" s="296"/>
      <c r="E665" s="296"/>
      <c r="F665" s="296"/>
      <c r="G665" s="297"/>
      <c r="H665" s="303"/>
      <c r="I665" s="298"/>
      <c r="J665" s="298"/>
      <c r="K665" s="299"/>
      <c r="L665" s="304"/>
      <c r="M665" s="300"/>
      <c r="N665" s="301"/>
      <c r="P665" s="193" t="str">
        <f>IF(R665 = "", "", COUNT(R$4:$R665))</f>
        <v/>
      </c>
      <c r="Q665" s="193" t="str">
        <f t="shared" si="101"/>
        <v/>
      </c>
      <c r="R665" s="194" t="str">
        <f t="shared" si="102"/>
        <v/>
      </c>
      <c r="S665" s="195" t="str">
        <f t="shared" si="104"/>
        <v/>
      </c>
      <c r="T665" s="196" t="str">
        <f t="shared" si="105"/>
        <v/>
      </c>
      <c r="U665" s="197" t="str">
        <f t="shared" si="106"/>
        <v/>
      </c>
      <c r="V665" s="198" t="str">
        <f t="shared" si="103"/>
        <v/>
      </c>
      <c r="W665" s="339" t="str">
        <f t="shared" si="107"/>
        <v/>
      </c>
      <c r="X665" s="341" t="str">
        <f t="shared" si="108"/>
        <v/>
      </c>
      <c r="Y665" s="277"/>
      <c r="AR665" t="str">
        <f t="shared" si="109"/>
        <v/>
      </c>
      <c r="AS665" t="str">
        <f t="shared" si="110"/>
        <v/>
      </c>
    </row>
    <row r="666" spans="1:45">
      <c r="A666" s="294"/>
      <c r="B666" s="295"/>
      <c r="C666" s="296"/>
      <c r="D666" s="296"/>
      <c r="E666" s="296"/>
      <c r="F666" s="296"/>
      <c r="G666" s="297"/>
      <c r="H666" s="303"/>
      <c r="I666" s="298"/>
      <c r="J666" s="298"/>
      <c r="K666" s="299"/>
      <c r="L666" s="304"/>
      <c r="M666" s="300"/>
      <c r="N666" s="301"/>
      <c r="P666" s="193" t="str">
        <f>IF(R666 = "", "", COUNT(R$4:$R666))</f>
        <v/>
      </c>
      <c r="Q666" s="193" t="str">
        <f t="shared" si="101"/>
        <v/>
      </c>
      <c r="R666" s="194" t="str">
        <f t="shared" si="102"/>
        <v/>
      </c>
      <c r="S666" s="195" t="str">
        <f t="shared" si="104"/>
        <v/>
      </c>
      <c r="T666" s="196" t="str">
        <f t="shared" si="105"/>
        <v/>
      </c>
      <c r="U666" s="197" t="str">
        <f t="shared" si="106"/>
        <v/>
      </c>
      <c r="V666" s="198" t="str">
        <f t="shared" si="103"/>
        <v/>
      </c>
      <c r="W666" s="339" t="str">
        <f t="shared" si="107"/>
        <v/>
      </c>
      <c r="X666" s="341" t="str">
        <f t="shared" si="108"/>
        <v/>
      </c>
      <c r="Y666" s="277"/>
      <c r="AR666" t="str">
        <f t="shared" si="109"/>
        <v/>
      </c>
      <c r="AS666" t="str">
        <f t="shared" si="110"/>
        <v/>
      </c>
    </row>
    <row r="667" spans="1:45">
      <c r="A667" s="294"/>
      <c r="B667" s="295"/>
      <c r="C667" s="296"/>
      <c r="D667" s="296"/>
      <c r="E667" s="296"/>
      <c r="F667" s="296"/>
      <c r="G667" s="297"/>
      <c r="H667" s="303"/>
      <c r="I667" s="298"/>
      <c r="J667" s="298"/>
      <c r="K667" s="299"/>
      <c r="L667" s="304"/>
      <c r="M667" s="300"/>
      <c r="N667" s="301"/>
      <c r="P667" s="193" t="str">
        <f>IF(R667 = "", "", COUNT(R$4:$R667))</f>
        <v/>
      </c>
      <c r="Q667" s="193" t="str">
        <f t="shared" si="101"/>
        <v/>
      </c>
      <c r="R667" s="194" t="str">
        <f t="shared" si="102"/>
        <v/>
      </c>
      <c r="S667" s="195" t="str">
        <f t="shared" si="104"/>
        <v/>
      </c>
      <c r="T667" s="196" t="str">
        <f t="shared" si="105"/>
        <v/>
      </c>
      <c r="U667" s="197" t="str">
        <f t="shared" si="106"/>
        <v/>
      </c>
      <c r="V667" s="198" t="str">
        <f t="shared" si="103"/>
        <v/>
      </c>
      <c r="W667" s="339" t="str">
        <f t="shared" si="107"/>
        <v/>
      </c>
      <c r="X667" s="341" t="str">
        <f t="shared" si="108"/>
        <v/>
      </c>
      <c r="Y667" s="277"/>
      <c r="AR667" t="str">
        <f t="shared" si="109"/>
        <v/>
      </c>
      <c r="AS667" t="str">
        <f t="shared" si="110"/>
        <v/>
      </c>
    </row>
    <row r="668" spans="1:45">
      <c r="A668" s="294"/>
      <c r="B668" s="295"/>
      <c r="C668" s="296"/>
      <c r="D668" s="296"/>
      <c r="E668" s="296"/>
      <c r="F668" s="296"/>
      <c r="G668" s="297"/>
      <c r="H668" s="303"/>
      <c r="I668" s="298"/>
      <c r="J668" s="298"/>
      <c r="K668" s="299"/>
      <c r="L668" s="304"/>
      <c r="M668" s="300"/>
      <c r="N668" s="301"/>
      <c r="P668" s="193" t="str">
        <f>IF(R668 = "", "", COUNT(R$4:$R668))</f>
        <v/>
      </c>
      <c r="Q668" s="193" t="str">
        <f t="shared" si="101"/>
        <v/>
      </c>
      <c r="R668" s="194" t="str">
        <f t="shared" si="102"/>
        <v/>
      </c>
      <c r="S668" s="195" t="str">
        <f t="shared" si="104"/>
        <v/>
      </c>
      <c r="T668" s="196" t="str">
        <f t="shared" si="105"/>
        <v/>
      </c>
      <c r="U668" s="197" t="str">
        <f t="shared" si="106"/>
        <v/>
      </c>
      <c r="V668" s="198" t="str">
        <f t="shared" si="103"/>
        <v/>
      </c>
      <c r="W668" s="339" t="str">
        <f t="shared" si="107"/>
        <v/>
      </c>
      <c r="X668" s="341" t="str">
        <f t="shared" si="108"/>
        <v/>
      </c>
      <c r="Y668" s="277"/>
      <c r="AR668" t="str">
        <f t="shared" si="109"/>
        <v/>
      </c>
      <c r="AS668" t="str">
        <f t="shared" si="110"/>
        <v/>
      </c>
    </row>
    <row r="669" spans="1:45">
      <c r="A669" s="294"/>
      <c r="B669" s="295"/>
      <c r="C669" s="296"/>
      <c r="D669" s="296"/>
      <c r="E669" s="296"/>
      <c r="F669" s="296"/>
      <c r="G669" s="297"/>
      <c r="H669" s="303"/>
      <c r="I669" s="298"/>
      <c r="J669" s="298"/>
      <c r="K669" s="299"/>
      <c r="L669" s="304"/>
      <c r="M669" s="300"/>
      <c r="N669" s="301"/>
      <c r="P669" s="193" t="str">
        <f>IF(R669 = "", "", COUNT(R$4:$R669))</f>
        <v/>
      </c>
      <c r="Q669" s="193" t="str">
        <f t="shared" si="101"/>
        <v/>
      </c>
      <c r="R669" s="194" t="str">
        <f t="shared" si="102"/>
        <v/>
      </c>
      <c r="S669" s="195" t="str">
        <f t="shared" si="104"/>
        <v/>
      </c>
      <c r="T669" s="196" t="str">
        <f t="shared" si="105"/>
        <v/>
      </c>
      <c r="U669" s="197" t="str">
        <f t="shared" si="106"/>
        <v/>
      </c>
      <c r="V669" s="198" t="str">
        <f t="shared" si="103"/>
        <v/>
      </c>
      <c r="W669" s="339" t="str">
        <f t="shared" si="107"/>
        <v/>
      </c>
      <c r="X669" s="341" t="str">
        <f t="shared" si="108"/>
        <v/>
      </c>
      <c r="Y669" s="277"/>
      <c r="AR669" t="str">
        <f t="shared" si="109"/>
        <v/>
      </c>
      <c r="AS669" t="str">
        <f t="shared" si="110"/>
        <v/>
      </c>
    </row>
    <row r="670" spans="1:45">
      <c r="A670" s="294"/>
      <c r="B670" s="295"/>
      <c r="C670" s="296"/>
      <c r="D670" s="296"/>
      <c r="E670" s="296"/>
      <c r="F670" s="296"/>
      <c r="G670" s="297"/>
      <c r="H670" s="303"/>
      <c r="I670" s="298"/>
      <c r="J670" s="298"/>
      <c r="K670" s="299"/>
      <c r="L670" s="304"/>
      <c r="M670" s="300"/>
      <c r="N670" s="301"/>
      <c r="P670" s="193" t="str">
        <f>IF(R670 = "", "", COUNT(R$4:$R670))</f>
        <v/>
      </c>
      <c r="Q670" s="193" t="str">
        <f t="shared" si="101"/>
        <v/>
      </c>
      <c r="R670" s="194" t="str">
        <f t="shared" si="102"/>
        <v/>
      </c>
      <c r="S670" s="195" t="str">
        <f t="shared" si="104"/>
        <v/>
      </c>
      <c r="T670" s="196" t="str">
        <f t="shared" si="105"/>
        <v/>
      </c>
      <c r="U670" s="197" t="str">
        <f t="shared" si="106"/>
        <v/>
      </c>
      <c r="V670" s="198" t="str">
        <f t="shared" si="103"/>
        <v/>
      </c>
      <c r="W670" s="339" t="str">
        <f t="shared" si="107"/>
        <v/>
      </c>
      <c r="X670" s="341" t="str">
        <f t="shared" si="108"/>
        <v/>
      </c>
      <c r="Y670" s="277"/>
      <c r="AR670" t="str">
        <f t="shared" si="109"/>
        <v/>
      </c>
      <c r="AS670" t="str">
        <f t="shared" si="110"/>
        <v/>
      </c>
    </row>
    <row r="671" spans="1:45">
      <c r="A671" s="294"/>
      <c r="B671" s="295"/>
      <c r="C671" s="296"/>
      <c r="D671" s="296"/>
      <c r="E671" s="296"/>
      <c r="F671" s="296"/>
      <c r="G671" s="297"/>
      <c r="H671" s="303"/>
      <c r="I671" s="298"/>
      <c r="J671" s="298"/>
      <c r="K671" s="299"/>
      <c r="L671" s="304"/>
      <c r="M671" s="300"/>
      <c r="N671" s="301"/>
      <c r="P671" s="193" t="str">
        <f>IF(R671 = "", "", COUNT(R$4:$R671))</f>
        <v/>
      </c>
      <c r="Q671" s="193" t="str">
        <f t="shared" si="101"/>
        <v/>
      </c>
      <c r="R671" s="194" t="str">
        <f t="shared" si="102"/>
        <v/>
      </c>
      <c r="S671" s="195" t="str">
        <f t="shared" si="104"/>
        <v/>
      </c>
      <c r="T671" s="196" t="str">
        <f t="shared" si="105"/>
        <v/>
      </c>
      <c r="U671" s="197" t="str">
        <f t="shared" si="106"/>
        <v/>
      </c>
      <c r="V671" s="198" t="str">
        <f t="shared" si="103"/>
        <v/>
      </c>
      <c r="W671" s="339" t="str">
        <f t="shared" si="107"/>
        <v/>
      </c>
      <c r="X671" s="341" t="str">
        <f t="shared" si="108"/>
        <v/>
      </c>
      <c r="Y671" s="277"/>
      <c r="AR671" t="str">
        <f t="shared" si="109"/>
        <v/>
      </c>
      <c r="AS671" t="str">
        <f t="shared" si="110"/>
        <v/>
      </c>
    </row>
    <row r="672" spans="1:45">
      <c r="A672" s="294"/>
      <c r="B672" s="295"/>
      <c r="C672" s="296"/>
      <c r="D672" s="296"/>
      <c r="E672" s="296"/>
      <c r="F672" s="296"/>
      <c r="G672" s="297"/>
      <c r="H672" s="303"/>
      <c r="I672" s="298"/>
      <c r="J672" s="298"/>
      <c r="K672" s="299"/>
      <c r="L672" s="304"/>
      <c r="M672" s="300"/>
      <c r="N672" s="301"/>
      <c r="P672" s="193" t="str">
        <f>IF(R672 = "", "", COUNT(R$4:$R672))</f>
        <v/>
      </c>
      <c r="Q672" s="193" t="str">
        <f t="shared" si="101"/>
        <v/>
      </c>
      <c r="R672" s="194" t="str">
        <f t="shared" si="102"/>
        <v/>
      </c>
      <c r="S672" s="195" t="str">
        <f t="shared" si="104"/>
        <v/>
      </c>
      <c r="T672" s="196" t="str">
        <f t="shared" si="105"/>
        <v/>
      </c>
      <c r="U672" s="197" t="str">
        <f t="shared" si="106"/>
        <v/>
      </c>
      <c r="V672" s="198" t="str">
        <f t="shared" si="103"/>
        <v/>
      </c>
      <c r="W672" s="339" t="str">
        <f t="shared" si="107"/>
        <v/>
      </c>
      <c r="X672" s="341" t="str">
        <f t="shared" si="108"/>
        <v/>
      </c>
      <c r="Y672" s="277"/>
      <c r="AR672" t="str">
        <f t="shared" si="109"/>
        <v/>
      </c>
      <c r="AS672" t="str">
        <f t="shared" si="110"/>
        <v/>
      </c>
    </row>
    <row r="673" spans="1:45">
      <c r="A673" s="294"/>
      <c r="B673" s="295"/>
      <c r="C673" s="296"/>
      <c r="D673" s="296"/>
      <c r="E673" s="296"/>
      <c r="F673" s="296"/>
      <c r="G673" s="297"/>
      <c r="H673" s="303"/>
      <c r="I673" s="298"/>
      <c r="J673" s="298"/>
      <c r="K673" s="299"/>
      <c r="L673" s="304"/>
      <c r="M673" s="300"/>
      <c r="N673" s="301"/>
      <c r="P673" s="193" t="str">
        <f>IF(R673 = "", "", COUNT(R$4:$R673))</f>
        <v/>
      </c>
      <c r="Q673" s="193" t="str">
        <f t="shared" si="101"/>
        <v/>
      </c>
      <c r="R673" s="194" t="str">
        <f t="shared" si="102"/>
        <v/>
      </c>
      <c r="S673" s="195" t="str">
        <f t="shared" si="104"/>
        <v/>
      </c>
      <c r="T673" s="196" t="str">
        <f t="shared" si="105"/>
        <v/>
      </c>
      <c r="U673" s="197" t="str">
        <f t="shared" si="106"/>
        <v/>
      </c>
      <c r="V673" s="198" t="str">
        <f t="shared" si="103"/>
        <v/>
      </c>
      <c r="W673" s="339" t="str">
        <f t="shared" si="107"/>
        <v/>
      </c>
      <c r="X673" s="341" t="str">
        <f t="shared" si="108"/>
        <v/>
      </c>
      <c r="Y673" s="277"/>
      <c r="AR673" t="str">
        <f t="shared" si="109"/>
        <v/>
      </c>
      <c r="AS673" t="str">
        <f t="shared" si="110"/>
        <v/>
      </c>
    </row>
    <row r="674" spans="1:45">
      <c r="A674" s="294"/>
      <c r="B674" s="295"/>
      <c r="C674" s="296"/>
      <c r="D674" s="296"/>
      <c r="E674" s="296"/>
      <c r="F674" s="296"/>
      <c r="G674" s="297"/>
      <c r="H674" s="303"/>
      <c r="I674" s="298"/>
      <c r="J674" s="298"/>
      <c r="K674" s="299"/>
      <c r="L674" s="304"/>
      <c r="M674" s="300"/>
      <c r="N674" s="301"/>
      <c r="P674" s="193" t="str">
        <f>IF(R674 = "", "", COUNT(R$4:$R674))</f>
        <v/>
      </c>
      <c r="Q674" s="193" t="str">
        <f t="shared" si="101"/>
        <v/>
      </c>
      <c r="R674" s="194" t="str">
        <f t="shared" si="102"/>
        <v/>
      </c>
      <c r="S674" s="195" t="str">
        <f t="shared" si="104"/>
        <v/>
      </c>
      <c r="T674" s="196" t="str">
        <f t="shared" si="105"/>
        <v/>
      </c>
      <c r="U674" s="197" t="str">
        <f t="shared" si="106"/>
        <v/>
      </c>
      <c r="V674" s="198" t="str">
        <f t="shared" si="103"/>
        <v/>
      </c>
      <c r="W674" s="339" t="str">
        <f t="shared" si="107"/>
        <v/>
      </c>
      <c r="X674" s="341" t="str">
        <f t="shared" si="108"/>
        <v/>
      </c>
      <c r="Y674" s="277"/>
      <c r="AR674" t="str">
        <f t="shared" si="109"/>
        <v/>
      </c>
      <c r="AS674" t="str">
        <f t="shared" si="110"/>
        <v/>
      </c>
    </row>
    <row r="675" spans="1:45">
      <c r="A675" s="294"/>
      <c r="B675" s="295"/>
      <c r="C675" s="296"/>
      <c r="D675" s="296"/>
      <c r="E675" s="296"/>
      <c r="F675" s="296"/>
      <c r="G675" s="297"/>
      <c r="H675" s="303"/>
      <c r="I675" s="298"/>
      <c r="J675" s="298"/>
      <c r="K675" s="299"/>
      <c r="L675" s="304"/>
      <c r="M675" s="300"/>
      <c r="N675" s="301"/>
      <c r="P675" s="193" t="str">
        <f>IF(R675 = "", "", COUNT(R$4:$R675))</f>
        <v/>
      </c>
      <c r="Q675" s="193" t="str">
        <f t="shared" si="101"/>
        <v/>
      </c>
      <c r="R675" s="194" t="str">
        <f t="shared" si="102"/>
        <v/>
      </c>
      <c r="S675" s="195" t="str">
        <f t="shared" si="104"/>
        <v/>
      </c>
      <c r="T675" s="196" t="str">
        <f t="shared" si="105"/>
        <v/>
      </c>
      <c r="U675" s="197" t="str">
        <f t="shared" si="106"/>
        <v/>
      </c>
      <c r="V675" s="198" t="str">
        <f t="shared" si="103"/>
        <v/>
      </c>
      <c r="W675" s="339" t="str">
        <f t="shared" si="107"/>
        <v/>
      </c>
      <c r="X675" s="341" t="str">
        <f t="shared" si="108"/>
        <v/>
      </c>
      <c r="Y675" s="277"/>
      <c r="AR675" t="str">
        <f t="shared" si="109"/>
        <v/>
      </c>
      <c r="AS675" t="str">
        <f t="shared" si="110"/>
        <v/>
      </c>
    </row>
    <row r="676" spans="1:45">
      <c r="A676" s="294"/>
      <c r="B676" s="295"/>
      <c r="C676" s="296"/>
      <c r="D676" s="296"/>
      <c r="E676" s="296"/>
      <c r="F676" s="296"/>
      <c r="G676" s="297"/>
      <c r="H676" s="303"/>
      <c r="I676" s="298"/>
      <c r="J676" s="298"/>
      <c r="K676" s="299"/>
      <c r="L676" s="304"/>
      <c r="M676" s="300"/>
      <c r="N676" s="301"/>
      <c r="P676" s="193" t="str">
        <f>IF(R676 = "", "", COUNT(R$4:$R676))</f>
        <v/>
      </c>
      <c r="Q676" s="193" t="str">
        <f t="shared" si="101"/>
        <v/>
      </c>
      <c r="R676" s="194" t="str">
        <f t="shared" si="102"/>
        <v/>
      </c>
      <c r="S676" s="195" t="str">
        <f t="shared" si="104"/>
        <v/>
      </c>
      <c r="T676" s="196" t="str">
        <f t="shared" si="105"/>
        <v/>
      </c>
      <c r="U676" s="197" t="str">
        <f t="shared" si="106"/>
        <v/>
      </c>
      <c r="V676" s="198" t="str">
        <f t="shared" si="103"/>
        <v/>
      </c>
      <c r="W676" s="339" t="str">
        <f t="shared" si="107"/>
        <v/>
      </c>
      <c r="X676" s="341" t="str">
        <f t="shared" si="108"/>
        <v/>
      </c>
      <c r="Y676" s="277"/>
      <c r="AR676" t="str">
        <f t="shared" si="109"/>
        <v/>
      </c>
      <c r="AS676" t="str">
        <f t="shared" si="110"/>
        <v/>
      </c>
    </row>
    <row r="677" spans="1:45">
      <c r="A677" s="294"/>
      <c r="B677" s="295"/>
      <c r="C677" s="296"/>
      <c r="D677" s="296"/>
      <c r="E677" s="296"/>
      <c r="F677" s="296"/>
      <c r="G677" s="297"/>
      <c r="H677" s="303"/>
      <c r="I677" s="298"/>
      <c r="J677" s="298"/>
      <c r="K677" s="299"/>
      <c r="L677" s="304"/>
      <c r="M677" s="300"/>
      <c r="N677" s="301"/>
      <c r="P677" s="193" t="str">
        <f>IF(R677 = "", "", COUNT(R$4:$R677))</f>
        <v/>
      </c>
      <c r="Q677" s="193" t="str">
        <f t="shared" si="101"/>
        <v/>
      </c>
      <c r="R677" s="194" t="str">
        <f t="shared" si="102"/>
        <v/>
      </c>
      <c r="S677" s="195" t="str">
        <f t="shared" si="104"/>
        <v/>
      </c>
      <c r="T677" s="196" t="str">
        <f t="shared" si="105"/>
        <v/>
      </c>
      <c r="U677" s="197" t="str">
        <f t="shared" si="106"/>
        <v/>
      </c>
      <c r="V677" s="198" t="str">
        <f t="shared" si="103"/>
        <v/>
      </c>
      <c r="W677" s="339" t="str">
        <f t="shared" si="107"/>
        <v/>
      </c>
      <c r="X677" s="341" t="str">
        <f t="shared" si="108"/>
        <v/>
      </c>
      <c r="Y677" s="277"/>
      <c r="AR677" t="str">
        <f t="shared" si="109"/>
        <v/>
      </c>
      <c r="AS677" t="str">
        <f t="shared" si="110"/>
        <v/>
      </c>
    </row>
    <row r="678" spans="1:45">
      <c r="A678" s="294"/>
      <c r="B678" s="295"/>
      <c r="C678" s="296"/>
      <c r="D678" s="296"/>
      <c r="E678" s="296"/>
      <c r="F678" s="296"/>
      <c r="G678" s="297"/>
      <c r="H678" s="303"/>
      <c r="I678" s="298"/>
      <c r="J678" s="298"/>
      <c r="K678" s="299"/>
      <c r="L678" s="304"/>
      <c r="M678" s="300"/>
      <c r="N678" s="301"/>
      <c r="P678" s="193" t="str">
        <f>IF(R678 = "", "", COUNT(R$4:$R678))</f>
        <v/>
      </c>
      <c r="Q678" s="193" t="str">
        <f t="shared" si="101"/>
        <v/>
      </c>
      <c r="R678" s="194" t="str">
        <f t="shared" si="102"/>
        <v/>
      </c>
      <c r="S678" s="195" t="str">
        <f t="shared" si="104"/>
        <v/>
      </c>
      <c r="T678" s="196" t="str">
        <f t="shared" si="105"/>
        <v/>
      </c>
      <c r="U678" s="197" t="str">
        <f t="shared" si="106"/>
        <v/>
      </c>
      <c r="V678" s="198" t="str">
        <f t="shared" si="103"/>
        <v/>
      </c>
      <c r="W678" s="339" t="str">
        <f t="shared" si="107"/>
        <v/>
      </c>
      <c r="X678" s="341" t="str">
        <f t="shared" si="108"/>
        <v/>
      </c>
      <c r="Y678" s="277"/>
      <c r="AR678" t="str">
        <f t="shared" si="109"/>
        <v/>
      </c>
      <c r="AS678" t="str">
        <f t="shared" si="110"/>
        <v/>
      </c>
    </row>
    <row r="679" spans="1:45">
      <c r="A679" s="294"/>
      <c r="B679" s="295"/>
      <c r="C679" s="296"/>
      <c r="D679" s="296"/>
      <c r="E679" s="296"/>
      <c r="F679" s="296"/>
      <c r="G679" s="297"/>
      <c r="H679" s="303"/>
      <c r="I679" s="298"/>
      <c r="J679" s="298"/>
      <c r="K679" s="299"/>
      <c r="L679" s="304"/>
      <c r="M679" s="300"/>
      <c r="N679" s="301"/>
      <c r="P679" s="193" t="str">
        <f>IF(R679 = "", "", COUNT(R$4:$R679))</f>
        <v/>
      </c>
      <c r="Q679" s="193" t="str">
        <f t="shared" si="101"/>
        <v/>
      </c>
      <c r="R679" s="194" t="str">
        <f t="shared" si="102"/>
        <v/>
      </c>
      <c r="S679" s="195" t="str">
        <f t="shared" si="104"/>
        <v/>
      </c>
      <c r="T679" s="196" t="str">
        <f t="shared" si="105"/>
        <v/>
      </c>
      <c r="U679" s="197" t="str">
        <f t="shared" si="106"/>
        <v/>
      </c>
      <c r="V679" s="198" t="str">
        <f t="shared" si="103"/>
        <v/>
      </c>
      <c r="W679" s="339" t="str">
        <f t="shared" si="107"/>
        <v/>
      </c>
      <c r="X679" s="341" t="str">
        <f t="shared" si="108"/>
        <v/>
      </c>
      <c r="Y679" s="277"/>
      <c r="AR679" t="str">
        <f t="shared" si="109"/>
        <v/>
      </c>
      <c r="AS679" t="str">
        <f t="shared" si="110"/>
        <v/>
      </c>
    </row>
    <row r="680" spans="1:45">
      <c r="A680" s="294"/>
      <c r="B680" s="295"/>
      <c r="C680" s="296"/>
      <c r="D680" s="296"/>
      <c r="E680" s="296"/>
      <c r="F680" s="296"/>
      <c r="G680" s="297"/>
      <c r="H680" s="303"/>
      <c r="I680" s="298"/>
      <c r="J680" s="298"/>
      <c r="K680" s="299"/>
      <c r="L680" s="304"/>
      <c r="M680" s="300"/>
      <c r="N680" s="301"/>
      <c r="P680" s="193" t="str">
        <f>IF(R680 = "", "", COUNT(R$4:$R680))</f>
        <v/>
      </c>
      <c r="Q680" s="193" t="str">
        <f t="shared" si="101"/>
        <v/>
      </c>
      <c r="R680" s="194" t="str">
        <f t="shared" si="102"/>
        <v/>
      </c>
      <c r="S680" s="195" t="str">
        <f t="shared" si="104"/>
        <v/>
      </c>
      <c r="T680" s="196" t="str">
        <f t="shared" si="105"/>
        <v/>
      </c>
      <c r="U680" s="197" t="str">
        <f t="shared" si="106"/>
        <v/>
      </c>
      <c r="V680" s="198" t="str">
        <f t="shared" si="103"/>
        <v/>
      </c>
      <c r="W680" s="339" t="str">
        <f t="shared" si="107"/>
        <v/>
      </c>
      <c r="X680" s="341" t="str">
        <f t="shared" si="108"/>
        <v/>
      </c>
      <c r="Y680" s="277"/>
      <c r="AR680" t="str">
        <f t="shared" si="109"/>
        <v/>
      </c>
      <c r="AS680" t="str">
        <f t="shared" si="110"/>
        <v/>
      </c>
    </row>
    <row r="681" spans="1:45">
      <c r="A681" s="294"/>
      <c r="B681" s="295"/>
      <c r="C681" s="296"/>
      <c r="D681" s="296"/>
      <c r="E681" s="296"/>
      <c r="F681" s="296"/>
      <c r="G681" s="297"/>
      <c r="H681" s="303"/>
      <c r="I681" s="298"/>
      <c r="J681" s="298"/>
      <c r="K681" s="299"/>
      <c r="L681" s="304"/>
      <c r="M681" s="300"/>
      <c r="N681" s="301"/>
      <c r="P681" s="193" t="str">
        <f>IF(R681 = "", "", COUNT(R$4:$R681))</f>
        <v/>
      </c>
      <c r="Q681" s="193" t="str">
        <f t="shared" si="101"/>
        <v/>
      </c>
      <c r="R681" s="194" t="str">
        <f t="shared" si="102"/>
        <v/>
      </c>
      <c r="S681" s="195" t="str">
        <f t="shared" si="104"/>
        <v/>
      </c>
      <c r="T681" s="196" t="str">
        <f t="shared" si="105"/>
        <v/>
      </c>
      <c r="U681" s="197" t="str">
        <f t="shared" si="106"/>
        <v/>
      </c>
      <c r="V681" s="198" t="str">
        <f t="shared" si="103"/>
        <v/>
      </c>
      <c r="W681" s="339" t="str">
        <f t="shared" si="107"/>
        <v/>
      </c>
      <c r="X681" s="341" t="str">
        <f t="shared" si="108"/>
        <v/>
      </c>
      <c r="Y681" s="277"/>
      <c r="AR681" t="str">
        <f t="shared" si="109"/>
        <v/>
      </c>
      <c r="AS681" t="str">
        <f t="shared" si="110"/>
        <v/>
      </c>
    </row>
    <row r="682" spans="1:45">
      <c r="A682" s="294"/>
      <c r="B682" s="295"/>
      <c r="C682" s="296"/>
      <c r="D682" s="296"/>
      <c r="E682" s="296"/>
      <c r="F682" s="296"/>
      <c r="G682" s="297"/>
      <c r="H682" s="303"/>
      <c r="I682" s="298"/>
      <c r="J682" s="298"/>
      <c r="K682" s="299"/>
      <c r="L682" s="304"/>
      <c r="M682" s="300"/>
      <c r="N682" s="301"/>
      <c r="P682" s="193" t="str">
        <f>IF(R682 = "", "", COUNT(R$4:$R682))</f>
        <v/>
      </c>
      <c r="Q682" s="193" t="str">
        <f t="shared" si="101"/>
        <v/>
      </c>
      <c r="R682" s="194" t="str">
        <f t="shared" si="102"/>
        <v/>
      </c>
      <c r="S682" s="195" t="str">
        <f t="shared" si="104"/>
        <v/>
      </c>
      <c r="T682" s="196" t="str">
        <f t="shared" si="105"/>
        <v/>
      </c>
      <c r="U682" s="197" t="str">
        <f t="shared" si="106"/>
        <v/>
      </c>
      <c r="V682" s="198" t="str">
        <f t="shared" si="103"/>
        <v/>
      </c>
      <c r="W682" s="339" t="str">
        <f t="shared" si="107"/>
        <v/>
      </c>
      <c r="X682" s="341" t="str">
        <f t="shared" si="108"/>
        <v/>
      </c>
      <c r="Y682" s="277"/>
      <c r="AR682" t="str">
        <f t="shared" si="109"/>
        <v/>
      </c>
      <c r="AS682" t="str">
        <f t="shared" si="110"/>
        <v/>
      </c>
    </row>
    <row r="683" spans="1:45">
      <c r="A683" s="294"/>
      <c r="B683" s="295"/>
      <c r="C683" s="296"/>
      <c r="D683" s="296"/>
      <c r="E683" s="296"/>
      <c r="F683" s="296"/>
      <c r="G683" s="297"/>
      <c r="H683" s="303"/>
      <c r="I683" s="298"/>
      <c r="J683" s="298"/>
      <c r="K683" s="299"/>
      <c r="L683" s="304"/>
      <c r="M683" s="300"/>
      <c r="N683" s="301"/>
      <c r="P683" s="193" t="str">
        <f>IF(R683 = "", "", COUNT(R$4:$R683))</f>
        <v/>
      </c>
      <c r="Q683" s="193" t="str">
        <f t="shared" si="101"/>
        <v/>
      </c>
      <c r="R683" s="194" t="str">
        <f t="shared" si="102"/>
        <v/>
      </c>
      <c r="S683" s="195" t="str">
        <f t="shared" si="104"/>
        <v/>
      </c>
      <c r="T683" s="196" t="str">
        <f t="shared" si="105"/>
        <v/>
      </c>
      <c r="U683" s="197" t="str">
        <f t="shared" si="106"/>
        <v/>
      </c>
      <c r="V683" s="198" t="str">
        <f t="shared" si="103"/>
        <v/>
      </c>
      <c r="W683" s="339" t="str">
        <f t="shared" si="107"/>
        <v/>
      </c>
      <c r="X683" s="341" t="str">
        <f t="shared" si="108"/>
        <v/>
      </c>
      <c r="Y683" s="277"/>
      <c r="AR683" t="str">
        <f t="shared" si="109"/>
        <v/>
      </c>
      <c r="AS683" t="str">
        <f t="shared" si="110"/>
        <v/>
      </c>
    </row>
    <row r="684" spans="1:45">
      <c r="A684" s="294"/>
      <c r="B684" s="295"/>
      <c r="C684" s="296"/>
      <c r="D684" s="296"/>
      <c r="E684" s="296"/>
      <c r="F684" s="296"/>
      <c r="G684" s="297"/>
      <c r="H684" s="303"/>
      <c r="I684" s="298"/>
      <c r="J684" s="298"/>
      <c r="K684" s="299"/>
      <c r="L684" s="304"/>
      <c r="M684" s="300"/>
      <c r="N684" s="301"/>
      <c r="P684" s="193" t="str">
        <f>IF(R684 = "", "", COUNT(R$4:$R684))</f>
        <v/>
      </c>
      <c r="Q684" s="193" t="str">
        <f t="shared" si="101"/>
        <v/>
      </c>
      <c r="R684" s="194" t="str">
        <f t="shared" si="102"/>
        <v/>
      </c>
      <c r="S684" s="195" t="str">
        <f t="shared" si="104"/>
        <v/>
      </c>
      <c r="T684" s="196" t="str">
        <f t="shared" si="105"/>
        <v/>
      </c>
      <c r="U684" s="197" t="str">
        <f t="shared" si="106"/>
        <v/>
      </c>
      <c r="V684" s="198" t="str">
        <f t="shared" si="103"/>
        <v/>
      </c>
      <c r="W684" s="339" t="str">
        <f t="shared" si="107"/>
        <v/>
      </c>
      <c r="X684" s="341" t="str">
        <f t="shared" si="108"/>
        <v/>
      </c>
      <c r="Y684" s="277"/>
      <c r="AR684" t="str">
        <f t="shared" si="109"/>
        <v/>
      </c>
      <c r="AS684" t="str">
        <f t="shared" si="110"/>
        <v/>
      </c>
    </row>
    <row r="685" spans="1:45">
      <c r="A685" s="294"/>
      <c r="B685" s="295"/>
      <c r="C685" s="296"/>
      <c r="D685" s="296"/>
      <c r="E685" s="296"/>
      <c r="F685" s="296"/>
      <c r="G685" s="297"/>
      <c r="H685" s="303"/>
      <c r="I685" s="298"/>
      <c r="J685" s="298"/>
      <c r="K685" s="299"/>
      <c r="L685" s="304"/>
      <c r="M685" s="300"/>
      <c r="N685" s="301"/>
      <c r="P685" s="193" t="str">
        <f>IF(R685 = "", "", COUNT(R$4:$R685))</f>
        <v/>
      </c>
      <c r="Q685" s="193" t="str">
        <f t="shared" si="101"/>
        <v/>
      </c>
      <c r="R685" s="194" t="str">
        <f t="shared" si="102"/>
        <v/>
      </c>
      <c r="S685" s="195" t="str">
        <f t="shared" si="104"/>
        <v/>
      </c>
      <c r="T685" s="196" t="str">
        <f t="shared" si="105"/>
        <v/>
      </c>
      <c r="U685" s="197" t="str">
        <f t="shared" si="106"/>
        <v/>
      </c>
      <c r="V685" s="198" t="str">
        <f t="shared" si="103"/>
        <v/>
      </c>
      <c r="W685" s="339" t="str">
        <f t="shared" si="107"/>
        <v/>
      </c>
      <c r="X685" s="341" t="str">
        <f t="shared" si="108"/>
        <v/>
      </c>
      <c r="Y685" s="277"/>
      <c r="AR685" t="str">
        <f t="shared" si="109"/>
        <v/>
      </c>
      <c r="AS685" t="str">
        <f t="shared" si="110"/>
        <v/>
      </c>
    </row>
    <row r="686" spans="1:45">
      <c r="A686" s="294"/>
      <c r="B686" s="295"/>
      <c r="C686" s="296"/>
      <c r="D686" s="296"/>
      <c r="E686" s="296"/>
      <c r="F686" s="296"/>
      <c r="G686" s="297"/>
      <c r="H686" s="303"/>
      <c r="I686" s="298"/>
      <c r="J686" s="298"/>
      <c r="K686" s="299"/>
      <c r="L686" s="304"/>
      <c r="M686" s="300"/>
      <c r="N686" s="301"/>
      <c r="P686" s="193" t="str">
        <f>IF(R686 = "", "", COUNT(R$4:$R686))</f>
        <v/>
      </c>
      <c r="Q686" s="193" t="str">
        <f t="shared" si="101"/>
        <v/>
      </c>
      <c r="R686" s="194" t="str">
        <f t="shared" si="102"/>
        <v/>
      </c>
      <c r="S686" s="195" t="str">
        <f t="shared" si="104"/>
        <v/>
      </c>
      <c r="T686" s="196" t="str">
        <f t="shared" si="105"/>
        <v/>
      </c>
      <c r="U686" s="197" t="str">
        <f t="shared" si="106"/>
        <v/>
      </c>
      <c r="V686" s="198" t="str">
        <f t="shared" si="103"/>
        <v/>
      </c>
      <c r="W686" s="339" t="str">
        <f t="shared" si="107"/>
        <v/>
      </c>
      <c r="X686" s="341" t="str">
        <f t="shared" si="108"/>
        <v/>
      </c>
      <c r="Y686" s="277"/>
      <c r="AR686" t="str">
        <f t="shared" si="109"/>
        <v/>
      </c>
      <c r="AS686" t="str">
        <f t="shared" si="110"/>
        <v/>
      </c>
    </row>
    <row r="687" spans="1:45">
      <c r="A687" s="294"/>
      <c r="B687" s="295"/>
      <c r="C687" s="296"/>
      <c r="D687" s="296"/>
      <c r="E687" s="296"/>
      <c r="F687" s="296"/>
      <c r="G687" s="297"/>
      <c r="H687" s="303"/>
      <c r="I687" s="298"/>
      <c r="J687" s="298"/>
      <c r="K687" s="299"/>
      <c r="L687" s="304"/>
      <c r="M687" s="300"/>
      <c r="N687" s="301"/>
      <c r="P687" s="193" t="str">
        <f>IF(R687 = "", "", COUNT(R$4:$R687))</f>
        <v/>
      </c>
      <c r="Q687" s="193" t="str">
        <f t="shared" si="101"/>
        <v/>
      </c>
      <c r="R687" s="194" t="str">
        <f t="shared" si="102"/>
        <v/>
      </c>
      <c r="S687" s="195" t="str">
        <f t="shared" si="104"/>
        <v/>
      </c>
      <c r="T687" s="196" t="str">
        <f t="shared" si="105"/>
        <v/>
      </c>
      <c r="U687" s="197" t="str">
        <f t="shared" si="106"/>
        <v/>
      </c>
      <c r="V687" s="198" t="str">
        <f t="shared" si="103"/>
        <v/>
      </c>
      <c r="W687" s="339" t="str">
        <f t="shared" si="107"/>
        <v/>
      </c>
      <c r="X687" s="341" t="str">
        <f t="shared" si="108"/>
        <v/>
      </c>
      <c r="Y687" s="277"/>
      <c r="AR687" t="str">
        <f t="shared" si="109"/>
        <v/>
      </c>
      <c r="AS687" t="str">
        <f t="shared" si="110"/>
        <v/>
      </c>
    </row>
    <row r="688" spans="1:45">
      <c r="A688" s="294"/>
      <c r="B688" s="295"/>
      <c r="C688" s="296"/>
      <c r="D688" s="296"/>
      <c r="E688" s="296"/>
      <c r="F688" s="296"/>
      <c r="G688" s="297"/>
      <c r="H688" s="303"/>
      <c r="I688" s="298"/>
      <c r="J688" s="298"/>
      <c r="K688" s="299"/>
      <c r="L688" s="304"/>
      <c r="M688" s="300"/>
      <c r="N688" s="301"/>
      <c r="P688" s="193" t="str">
        <f>IF(R688 = "", "", COUNT(R$4:$R688))</f>
        <v/>
      </c>
      <c r="Q688" s="193" t="str">
        <f t="shared" si="101"/>
        <v/>
      </c>
      <c r="R688" s="194" t="str">
        <f t="shared" si="102"/>
        <v/>
      </c>
      <c r="S688" s="195" t="str">
        <f t="shared" si="104"/>
        <v/>
      </c>
      <c r="T688" s="196" t="str">
        <f t="shared" si="105"/>
        <v/>
      </c>
      <c r="U688" s="197" t="str">
        <f t="shared" si="106"/>
        <v/>
      </c>
      <c r="V688" s="198" t="str">
        <f t="shared" si="103"/>
        <v/>
      </c>
      <c r="W688" s="339" t="str">
        <f t="shared" si="107"/>
        <v/>
      </c>
      <c r="X688" s="341" t="str">
        <f t="shared" si="108"/>
        <v/>
      </c>
      <c r="Y688" s="277"/>
      <c r="AR688" t="str">
        <f t="shared" si="109"/>
        <v/>
      </c>
      <c r="AS688" t="str">
        <f t="shared" si="110"/>
        <v/>
      </c>
    </row>
    <row r="689" spans="1:45">
      <c r="A689" s="294"/>
      <c r="B689" s="295"/>
      <c r="C689" s="296"/>
      <c r="D689" s="296"/>
      <c r="E689" s="296"/>
      <c r="F689" s="296"/>
      <c r="G689" s="297"/>
      <c r="H689" s="303"/>
      <c r="I689" s="298"/>
      <c r="J689" s="298"/>
      <c r="K689" s="299"/>
      <c r="L689" s="304"/>
      <c r="M689" s="300"/>
      <c r="N689" s="301"/>
      <c r="P689" s="193" t="str">
        <f>IF(R689 = "", "", COUNT(R$4:$R689))</f>
        <v/>
      </c>
      <c r="Q689" s="193" t="str">
        <f t="shared" si="101"/>
        <v/>
      </c>
      <c r="R689" s="194" t="str">
        <f t="shared" si="102"/>
        <v/>
      </c>
      <c r="S689" s="195" t="str">
        <f t="shared" si="104"/>
        <v/>
      </c>
      <c r="T689" s="196" t="str">
        <f t="shared" si="105"/>
        <v/>
      </c>
      <c r="U689" s="197" t="str">
        <f t="shared" si="106"/>
        <v/>
      </c>
      <c r="V689" s="198" t="str">
        <f t="shared" si="103"/>
        <v/>
      </c>
      <c r="W689" s="339" t="str">
        <f t="shared" si="107"/>
        <v/>
      </c>
      <c r="X689" s="341" t="str">
        <f t="shared" si="108"/>
        <v/>
      </c>
      <c r="Y689" s="277"/>
      <c r="AR689" t="str">
        <f t="shared" si="109"/>
        <v/>
      </c>
      <c r="AS689" t="str">
        <f t="shared" si="110"/>
        <v/>
      </c>
    </row>
    <row r="690" spans="1:45">
      <c r="A690" s="294"/>
      <c r="B690" s="295"/>
      <c r="C690" s="296"/>
      <c r="D690" s="296"/>
      <c r="E690" s="296"/>
      <c r="F690" s="296"/>
      <c r="G690" s="297"/>
      <c r="H690" s="303"/>
      <c r="I690" s="298"/>
      <c r="J690" s="298"/>
      <c r="K690" s="299"/>
      <c r="L690" s="304"/>
      <c r="M690" s="300"/>
      <c r="N690" s="301"/>
      <c r="P690" s="193" t="str">
        <f>IF(R690 = "", "", COUNT(R$4:$R690))</f>
        <v/>
      </c>
      <c r="Q690" s="193" t="str">
        <f t="shared" si="101"/>
        <v/>
      </c>
      <c r="R690" s="194" t="str">
        <f t="shared" si="102"/>
        <v/>
      </c>
      <c r="S690" s="195" t="str">
        <f t="shared" si="104"/>
        <v/>
      </c>
      <c r="T690" s="196" t="str">
        <f t="shared" si="105"/>
        <v/>
      </c>
      <c r="U690" s="197" t="str">
        <f t="shared" si="106"/>
        <v/>
      </c>
      <c r="V690" s="198" t="str">
        <f t="shared" si="103"/>
        <v/>
      </c>
      <c r="W690" s="339" t="str">
        <f t="shared" si="107"/>
        <v/>
      </c>
      <c r="X690" s="341" t="str">
        <f t="shared" si="108"/>
        <v/>
      </c>
      <c r="Y690" s="277"/>
      <c r="AR690" t="str">
        <f t="shared" si="109"/>
        <v/>
      </c>
      <c r="AS690" t="str">
        <f t="shared" si="110"/>
        <v/>
      </c>
    </row>
    <row r="691" spans="1:45">
      <c r="A691" s="294"/>
      <c r="B691" s="295"/>
      <c r="C691" s="296"/>
      <c r="D691" s="296"/>
      <c r="E691" s="296"/>
      <c r="F691" s="296"/>
      <c r="G691" s="297"/>
      <c r="H691" s="303"/>
      <c r="I691" s="298"/>
      <c r="J691" s="298"/>
      <c r="K691" s="299"/>
      <c r="L691" s="304"/>
      <c r="M691" s="300"/>
      <c r="N691" s="301"/>
      <c r="P691" s="193" t="str">
        <f>IF(R691 = "", "", COUNT(R$4:$R691))</f>
        <v/>
      </c>
      <c r="Q691" s="193" t="str">
        <f t="shared" si="101"/>
        <v/>
      </c>
      <c r="R691" s="194" t="str">
        <f t="shared" si="102"/>
        <v/>
      </c>
      <c r="S691" s="195" t="str">
        <f t="shared" si="104"/>
        <v/>
      </c>
      <c r="T691" s="196" t="str">
        <f t="shared" si="105"/>
        <v/>
      </c>
      <c r="U691" s="197" t="str">
        <f t="shared" si="106"/>
        <v/>
      </c>
      <c r="V691" s="198" t="str">
        <f t="shared" si="103"/>
        <v/>
      </c>
      <c r="W691" s="339" t="str">
        <f t="shared" si="107"/>
        <v/>
      </c>
      <c r="X691" s="341" t="str">
        <f t="shared" si="108"/>
        <v/>
      </c>
      <c r="Y691" s="277"/>
      <c r="AR691" t="str">
        <f t="shared" si="109"/>
        <v/>
      </c>
      <c r="AS691" t="str">
        <f t="shared" si="110"/>
        <v/>
      </c>
    </row>
    <row r="692" spans="1:45">
      <c r="A692" s="294"/>
      <c r="B692" s="295"/>
      <c r="C692" s="296"/>
      <c r="D692" s="296"/>
      <c r="E692" s="296"/>
      <c r="F692" s="296"/>
      <c r="G692" s="297"/>
      <c r="H692" s="303"/>
      <c r="I692" s="298"/>
      <c r="J692" s="298"/>
      <c r="K692" s="299"/>
      <c r="L692" s="304"/>
      <c r="M692" s="300"/>
      <c r="N692" s="301"/>
      <c r="P692" s="193" t="str">
        <f>IF(R692 = "", "", COUNT(R$4:$R692))</f>
        <v/>
      </c>
      <c r="Q692" s="193" t="str">
        <f t="shared" si="101"/>
        <v/>
      </c>
      <c r="R692" s="194" t="str">
        <f t="shared" si="102"/>
        <v/>
      </c>
      <c r="S692" s="195" t="str">
        <f t="shared" si="104"/>
        <v/>
      </c>
      <c r="T692" s="196" t="str">
        <f t="shared" si="105"/>
        <v/>
      </c>
      <c r="U692" s="197" t="str">
        <f t="shared" si="106"/>
        <v/>
      </c>
      <c r="V692" s="198" t="str">
        <f t="shared" si="103"/>
        <v/>
      </c>
      <c r="W692" s="339" t="str">
        <f t="shared" si="107"/>
        <v/>
      </c>
      <c r="X692" s="341" t="str">
        <f t="shared" si="108"/>
        <v/>
      </c>
      <c r="Y692" s="277"/>
      <c r="AR692" t="str">
        <f t="shared" si="109"/>
        <v/>
      </c>
      <c r="AS692" t="str">
        <f t="shared" si="110"/>
        <v/>
      </c>
    </row>
    <row r="693" spans="1:45">
      <c r="A693" s="294"/>
      <c r="B693" s="295"/>
      <c r="C693" s="296"/>
      <c r="D693" s="296"/>
      <c r="E693" s="296"/>
      <c r="F693" s="296"/>
      <c r="G693" s="297"/>
      <c r="H693" s="303"/>
      <c r="I693" s="298"/>
      <c r="J693" s="298"/>
      <c r="K693" s="299"/>
      <c r="L693" s="304"/>
      <c r="M693" s="300"/>
      <c r="N693" s="301"/>
      <c r="P693" s="193" t="str">
        <f>IF(R693 = "", "", COUNT(R$4:$R693))</f>
        <v/>
      </c>
      <c r="Q693" s="193" t="str">
        <f t="shared" si="101"/>
        <v/>
      </c>
      <c r="R693" s="194" t="str">
        <f t="shared" si="102"/>
        <v/>
      </c>
      <c r="S693" s="195" t="str">
        <f t="shared" si="104"/>
        <v/>
      </c>
      <c r="T693" s="196" t="str">
        <f t="shared" si="105"/>
        <v/>
      </c>
      <c r="U693" s="197" t="str">
        <f t="shared" si="106"/>
        <v/>
      </c>
      <c r="V693" s="198" t="str">
        <f t="shared" si="103"/>
        <v/>
      </c>
      <c r="W693" s="339" t="str">
        <f t="shared" si="107"/>
        <v/>
      </c>
      <c r="X693" s="341" t="str">
        <f t="shared" si="108"/>
        <v/>
      </c>
      <c r="Y693" s="277"/>
      <c r="AR693" t="str">
        <f t="shared" si="109"/>
        <v/>
      </c>
      <c r="AS693" t="str">
        <f t="shared" si="110"/>
        <v/>
      </c>
    </row>
    <row r="694" spans="1:45">
      <c r="A694" s="294"/>
      <c r="B694" s="295"/>
      <c r="C694" s="296"/>
      <c r="D694" s="296"/>
      <c r="E694" s="296"/>
      <c r="F694" s="296"/>
      <c r="G694" s="297"/>
      <c r="H694" s="303"/>
      <c r="I694" s="298"/>
      <c r="J694" s="298"/>
      <c r="K694" s="299"/>
      <c r="L694" s="304"/>
      <c r="M694" s="300"/>
      <c r="N694" s="301"/>
      <c r="P694" s="193" t="str">
        <f>IF(R694 = "", "", COUNT(R$4:$R694))</f>
        <v/>
      </c>
      <c r="Q694" s="193" t="str">
        <f t="shared" si="101"/>
        <v/>
      </c>
      <c r="R694" s="194" t="str">
        <f t="shared" si="102"/>
        <v/>
      </c>
      <c r="S694" s="195" t="str">
        <f t="shared" si="104"/>
        <v/>
      </c>
      <c r="T694" s="196" t="str">
        <f t="shared" si="105"/>
        <v/>
      </c>
      <c r="U694" s="197" t="str">
        <f t="shared" si="106"/>
        <v/>
      </c>
      <c r="V694" s="198" t="str">
        <f t="shared" si="103"/>
        <v/>
      </c>
      <c r="W694" s="339" t="str">
        <f t="shared" si="107"/>
        <v/>
      </c>
      <c r="X694" s="341" t="str">
        <f t="shared" si="108"/>
        <v/>
      </c>
      <c r="Y694" s="277"/>
      <c r="AR694" t="str">
        <f t="shared" si="109"/>
        <v/>
      </c>
      <c r="AS694" t="str">
        <f t="shared" si="110"/>
        <v/>
      </c>
    </row>
    <row r="695" spans="1:45">
      <c r="A695" s="294"/>
      <c r="B695" s="295"/>
      <c r="C695" s="296"/>
      <c r="D695" s="296"/>
      <c r="E695" s="296"/>
      <c r="F695" s="296"/>
      <c r="G695" s="297"/>
      <c r="H695" s="303"/>
      <c r="I695" s="298"/>
      <c r="J695" s="298"/>
      <c r="K695" s="299"/>
      <c r="L695" s="304"/>
      <c r="M695" s="300"/>
      <c r="N695" s="301"/>
      <c r="P695" s="193" t="str">
        <f>IF(R695 = "", "", COUNT(R$4:$R695))</f>
        <v/>
      </c>
      <c r="Q695" s="193" t="str">
        <f t="shared" si="101"/>
        <v/>
      </c>
      <c r="R695" s="194" t="str">
        <f t="shared" si="102"/>
        <v/>
      </c>
      <c r="S695" s="195" t="str">
        <f t="shared" si="104"/>
        <v/>
      </c>
      <c r="T695" s="196" t="str">
        <f t="shared" si="105"/>
        <v/>
      </c>
      <c r="U695" s="197" t="str">
        <f t="shared" si="106"/>
        <v/>
      </c>
      <c r="V695" s="198" t="str">
        <f t="shared" si="103"/>
        <v/>
      </c>
      <c r="W695" s="339" t="str">
        <f t="shared" si="107"/>
        <v/>
      </c>
      <c r="X695" s="341" t="str">
        <f t="shared" si="108"/>
        <v/>
      </c>
      <c r="Y695" s="277"/>
      <c r="AR695" t="str">
        <f t="shared" si="109"/>
        <v/>
      </c>
      <c r="AS695" t="str">
        <f t="shared" si="110"/>
        <v/>
      </c>
    </row>
    <row r="696" spans="1:45">
      <c r="A696" s="294"/>
      <c r="B696" s="295"/>
      <c r="C696" s="296"/>
      <c r="D696" s="296"/>
      <c r="E696" s="296"/>
      <c r="F696" s="296"/>
      <c r="G696" s="297"/>
      <c r="H696" s="303"/>
      <c r="I696" s="298"/>
      <c r="J696" s="298"/>
      <c r="K696" s="299"/>
      <c r="L696" s="304"/>
      <c r="M696" s="300"/>
      <c r="N696" s="301"/>
      <c r="P696" s="193" t="str">
        <f>IF(R696 = "", "", COUNT(R$4:$R696))</f>
        <v/>
      </c>
      <c r="Q696" s="193" t="str">
        <f t="shared" si="101"/>
        <v/>
      </c>
      <c r="R696" s="194" t="str">
        <f t="shared" si="102"/>
        <v/>
      </c>
      <c r="S696" s="195" t="str">
        <f t="shared" si="104"/>
        <v/>
      </c>
      <c r="T696" s="196" t="str">
        <f t="shared" si="105"/>
        <v/>
      </c>
      <c r="U696" s="197" t="str">
        <f t="shared" si="106"/>
        <v/>
      </c>
      <c r="V696" s="198" t="str">
        <f t="shared" si="103"/>
        <v/>
      </c>
      <c r="W696" s="339" t="str">
        <f t="shared" si="107"/>
        <v/>
      </c>
      <c r="X696" s="341" t="str">
        <f t="shared" si="108"/>
        <v/>
      </c>
      <c r="Y696" s="277"/>
      <c r="AR696" t="str">
        <f t="shared" si="109"/>
        <v/>
      </c>
      <c r="AS696" t="str">
        <f t="shared" si="110"/>
        <v/>
      </c>
    </row>
    <row r="697" spans="1:45">
      <c r="A697" s="294"/>
      <c r="B697" s="295"/>
      <c r="C697" s="296"/>
      <c r="D697" s="296"/>
      <c r="E697" s="296"/>
      <c r="F697" s="296"/>
      <c r="G697" s="297"/>
      <c r="H697" s="303"/>
      <c r="I697" s="298"/>
      <c r="J697" s="298"/>
      <c r="K697" s="299"/>
      <c r="L697" s="304"/>
      <c r="M697" s="300"/>
      <c r="N697" s="301"/>
      <c r="P697" s="193" t="str">
        <f>IF(R697 = "", "", COUNT(R$4:$R697))</f>
        <v/>
      </c>
      <c r="Q697" s="193" t="str">
        <f t="shared" si="101"/>
        <v/>
      </c>
      <c r="R697" s="194" t="str">
        <f t="shared" si="102"/>
        <v/>
      </c>
      <c r="S697" s="195" t="str">
        <f t="shared" si="104"/>
        <v/>
      </c>
      <c r="T697" s="196" t="str">
        <f t="shared" si="105"/>
        <v/>
      </c>
      <c r="U697" s="197" t="str">
        <f t="shared" si="106"/>
        <v/>
      </c>
      <c r="V697" s="198" t="str">
        <f t="shared" si="103"/>
        <v/>
      </c>
      <c r="W697" s="339" t="str">
        <f t="shared" si="107"/>
        <v/>
      </c>
      <c r="X697" s="341" t="str">
        <f t="shared" si="108"/>
        <v/>
      </c>
      <c r="Y697" s="277"/>
      <c r="AR697" t="str">
        <f t="shared" si="109"/>
        <v/>
      </c>
      <c r="AS697" t="str">
        <f t="shared" si="110"/>
        <v/>
      </c>
    </row>
    <row r="698" spans="1:45">
      <c r="A698" s="294"/>
      <c r="B698" s="295"/>
      <c r="C698" s="296"/>
      <c r="D698" s="296"/>
      <c r="E698" s="296"/>
      <c r="F698" s="296"/>
      <c r="G698" s="297"/>
      <c r="H698" s="303"/>
      <c r="I698" s="298"/>
      <c r="J698" s="298"/>
      <c r="K698" s="299"/>
      <c r="L698" s="304"/>
      <c r="M698" s="300"/>
      <c r="N698" s="301"/>
      <c r="P698" s="193" t="str">
        <f>IF(R698 = "", "", COUNT(R$4:$R698))</f>
        <v/>
      </c>
      <c r="Q698" s="193" t="str">
        <f t="shared" si="101"/>
        <v/>
      </c>
      <c r="R698" s="194" t="str">
        <f t="shared" si="102"/>
        <v/>
      </c>
      <c r="S698" s="195" t="str">
        <f t="shared" si="104"/>
        <v/>
      </c>
      <c r="T698" s="196" t="str">
        <f t="shared" si="105"/>
        <v/>
      </c>
      <c r="U698" s="197" t="str">
        <f t="shared" si="106"/>
        <v/>
      </c>
      <c r="V698" s="198" t="str">
        <f t="shared" si="103"/>
        <v/>
      </c>
      <c r="W698" s="339" t="str">
        <f t="shared" si="107"/>
        <v/>
      </c>
      <c r="X698" s="341" t="str">
        <f t="shared" si="108"/>
        <v/>
      </c>
      <c r="Y698" s="277"/>
      <c r="AR698" t="str">
        <f t="shared" si="109"/>
        <v/>
      </c>
      <c r="AS698" t="str">
        <f t="shared" si="110"/>
        <v/>
      </c>
    </row>
    <row r="699" spans="1:45">
      <c r="A699" s="294"/>
      <c r="B699" s="295"/>
      <c r="C699" s="296"/>
      <c r="D699" s="296"/>
      <c r="E699" s="296"/>
      <c r="F699" s="296"/>
      <c r="G699" s="297"/>
      <c r="H699" s="303"/>
      <c r="I699" s="298"/>
      <c r="J699" s="298"/>
      <c r="K699" s="299"/>
      <c r="L699" s="304"/>
      <c r="M699" s="300"/>
      <c r="N699" s="301"/>
      <c r="P699" s="193" t="str">
        <f>IF(R699 = "", "", COUNT(R$4:$R699))</f>
        <v/>
      </c>
      <c r="Q699" s="193" t="str">
        <f t="shared" si="101"/>
        <v/>
      </c>
      <c r="R699" s="194" t="str">
        <f t="shared" si="102"/>
        <v/>
      </c>
      <c r="S699" s="195" t="str">
        <f t="shared" si="104"/>
        <v/>
      </c>
      <c r="T699" s="196" t="str">
        <f t="shared" si="105"/>
        <v/>
      </c>
      <c r="U699" s="197" t="str">
        <f t="shared" si="106"/>
        <v/>
      </c>
      <c r="V699" s="198" t="str">
        <f t="shared" si="103"/>
        <v/>
      </c>
      <c r="W699" s="339" t="str">
        <f t="shared" si="107"/>
        <v/>
      </c>
      <c r="X699" s="341" t="str">
        <f t="shared" si="108"/>
        <v/>
      </c>
      <c r="Y699" s="277"/>
      <c r="AR699" t="str">
        <f t="shared" si="109"/>
        <v/>
      </c>
      <c r="AS699" t="str">
        <f t="shared" si="110"/>
        <v/>
      </c>
    </row>
    <row r="700" spans="1:45">
      <c r="A700" s="294"/>
      <c r="B700" s="295"/>
      <c r="C700" s="296"/>
      <c r="D700" s="296"/>
      <c r="E700" s="296"/>
      <c r="F700" s="296"/>
      <c r="G700" s="297"/>
      <c r="H700" s="303"/>
      <c r="I700" s="298"/>
      <c r="J700" s="298"/>
      <c r="K700" s="299"/>
      <c r="L700" s="304"/>
      <c r="M700" s="300"/>
      <c r="N700" s="301"/>
      <c r="P700" s="193" t="str">
        <f>IF(R700 = "", "", COUNT(R$4:$R700))</f>
        <v/>
      </c>
      <c r="Q700" s="193" t="str">
        <f t="shared" si="101"/>
        <v/>
      </c>
      <c r="R700" s="194" t="str">
        <f t="shared" si="102"/>
        <v/>
      </c>
      <c r="S700" s="195" t="str">
        <f t="shared" si="104"/>
        <v/>
      </c>
      <c r="T700" s="196" t="str">
        <f t="shared" si="105"/>
        <v/>
      </c>
      <c r="U700" s="197" t="str">
        <f t="shared" si="106"/>
        <v/>
      </c>
      <c r="V700" s="198" t="str">
        <f t="shared" si="103"/>
        <v/>
      </c>
      <c r="W700" s="339" t="str">
        <f t="shared" si="107"/>
        <v/>
      </c>
      <c r="X700" s="341" t="str">
        <f t="shared" si="108"/>
        <v/>
      </c>
      <c r="Y700" s="277"/>
      <c r="AR700" t="str">
        <f t="shared" si="109"/>
        <v/>
      </c>
      <c r="AS700" t="str">
        <f t="shared" si="110"/>
        <v/>
      </c>
    </row>
    <row r="701" spans="1:45">
      <c r="A701" s="294"/>
      <c r="B701" s="295"/>
      <c r="C701" s="296"/>
      <c r="D701" s="296"/>
      <c r="E701" s="296"/>
      <c r="F701" s="296"/>
      <c r="G701" s="297"/>
      <c r="H701" s="303"/>
      <c r="I701" s="298"/>
      <c r="J701" s="298"/>
      <c r="K701" s="299"/>
      <c r="L701" s="304"/>
      <c r="M701" s="300"/>
      <c r="N701" s="301"/>
      <c r="P701" s="193" t="str">
        <f>IF(R701 = "", "", COUNT(R$4:$R701))</f>
        <v/>
      </c>
      <c r="Q701" s="193" t="str">
        <f t="shared" si="101"/>
        <v/>
      </c>
      <c r="R701" s="194" t="str">
        <f t="shared" si="102"/>
        <v/>
      </c>
      <c r="S701" s="195" t="str">
        <f t="shared" si="104"/>
        <v/>
      </c>
      <c r="T701" s="196" t="str">
        <f t="shared" si="105"/>
        <v/>
      </c>
      <c r="U701" s="197" t="str">
        <f t="shared" si="106"/>
        <v/>
      </c>
      <c r="V701" s="198" t="str">
        <f t="shared" si="103"/>
        <v/>
      </c>
      <c r="W701" s="339" t="str">
        <f t="shared" si="107"/>
        <v/>
      </c>
      <c r="X701" s="341" t="str">
        <f t="shared" si="108"/>
        <v/>
      </c>
      <c r="Y701" s="277"/>
      <c r="AR701" t="str">
        <f t="shared" si="109"/>
        <v/>
      </c>
      <c r="AS701" t="str">
        <f t="shared" si="110"/>
        <v/>
      </c>
    </row>
    <row r="702" spans="1:45">
      <c r="A702" s="294"/>
      <c r="B702" s="295"/>
      <c r="C702" s="296"/>
      <c r="D702" s="296"/>
      <c r="E702" s="296"/>
      <c r="F702" s="296"/>
      <c r="G702" s="297"/>
      <c r="H702" s="303"/>
      <c r="I702" s="298"/>
      <c r="J702" s="298"/>
      <c r="K702" s="299"/>
      <c r="L702" s="304"/>
      <c r="M702" s="300"/>
      <c r="N702" s="301"/>
      <c r="P702" s="193" t="str">
        <f>IF(R702 = "", "", COUNT(R$4:$R702))</f>
        <v/>
      </c>
      <c r="Q702" s="193" t="str">
        <f t="shared" si="101"/>
        <v/>
      </c>
      <c r="R702" s="194" t="str">
        <f t="shared" si="102"/>
        <v/>
      </c>
      <c r="S702" s="195" t="str">
        <f t="shared" si="104"/>
        <v/>
      </c>
      <c r="T702" s="196" t="str">
        <f t="shared" si="105"/>
        <v/>
      </c>
      <c r="U702" s="197" t="str">
        <f t="shared" si="106"/>
        <v/>
      </c>
      <c r="V702" s="198" t="str">
        <f t="shared" si="103"/>
        <v/>
      </c>
      <c r="W702" s="339" t="str">
        <f t="shared" si="107"/>
        <v/>
      </c>
      <c r="X702" s="341" t="str">
        <f t="shared" si="108"/>
        <v/>
      </c>
      <c r="Y702" s="277"/>
      <c r="AR702" t="str">
        <f t="shared" si="109"/>
        <v/>
      </c>
      <c r="AS702" t="str">
        <f t="shared" si="110"/>
        <v/>
      </c>
    </row>
    <row r="703" spans="1:45">
      <c r="A703" s="294"/>
      <c r="B703" s="295"/>
      <c r="C703" s="296"/>
      <c r="D703" s="296"/>
      <c r="E703" s="296"/>
      <c r="F703" s="296"/>
      <c r="G703" s="297"/>
      <c r="H703" s="303"/>
      <c r="I703" s="298"/>
      <c r="J703" s="298"/>
      <c r="K703" s="299"/>
      <c r="L703" s="304"/>
      <c r="M703" s="300"/>
      <c r="N703" s="301"/>
      <c r="P703" s="193" t="str">
        <f>IF(R703 = "", "", COUNT(R$4:$R703))</f>
        <v/>
      </c>
      <c r="Q703" s="193" t="str">
        <f t="shared" si="101"/>
        <v/>
      </c>
      <c r="R703" s="194" t="str">
        <f t="shared" si="102"/>
        <v/>
      </c>
      <c r="S703" s="195" t="str">
        <f t="shared" si="104"/>
        <v/>
      </c>
      <c r="T703" s="196" t="str">
        <f t="shared" si="105"/>
        <v/>
      </c>
      <c r="U703" s="197" t="str">
        <f t="shared" si="106"/>
        <v/>
      </c>
      <c r="V703" s="198" t="str">
        <f t="shared" si="103"/>
        <v/>
      </c>
      <c r="W703" s="339" t="str">
        <f t="shared" si="107"/>
        <v/>
      </c>
      <c r="X703" s="341" t="str">
        <f t="shared" si="108"/>
        <v/>
      </c>
      <c r="Y703" s="277"/>
      <c r="AR703" t="str">
        <f t="shared" si="109"/>
        <v/>
      </c>
      <c r="AS703" t="str">
        <f t="shared" si="110"/>
        <v/>
      </c>
    </row>
    <row r="704" spans="1:45">
      <c r="A704" s="294"/>
      <c r="B704" s="295"/>
      <c r="C704" s="296"/>
      <c r="D704" s="296"/>
      <c r="E704" s="296"/>
      <c r="F704" s="296"/>
      <c r="G704" s="297"/>
      <c r="H704" s="303"/>
      <c r="I704" s="298"/>
      <c r="J704" s="298"/>
      <c r="K704" s="299"/>
      <c r="L704" s="304"/>
      <c r="M704" s="300"/>
      <c r="N704" s="301"/>
      <c r="P704" s="193" t="str">
        <f>IF(R704 = "", "", COUNT(R$4:$R704))</f>
        <v/>
      </c>
      <c r="Q704" s="193" t="str">
        <f t="shared" si="101"/>
        <v/>
      </c>
      <c r="R704" s="194" t="str">
        <f t="shared" si="102"/>
        <v/>
      </c>
      <c r="S704" s="195" t="str">
        <f t="shared" si="104"/>
        <v/>
      </c>
      <c r="T704" s="196" t="str">
        <f t="shared" si="105"/>
        <v/>
      </c>
      <c r="U704" s="197" t="str">
        <f t="shared" si="106"/>
        <v/>
      </c>
      <c r="V704" s="198" t="str">
        <f t="shared" si="103"/>
        <v/>
      </c>
      <c r="W704" s="339" t="str">
        <f t="shared" si="107"/>
        <v/>
      </c>
      <c r="X704" s="341" t="str">
        <f t="shared" si="108"/>
        <v/>
      </c>
      <c r="Y704" s="277"/>
      <c r="AR704" t="str">
        <f t="shared" si="109"/>
        <v/>
      </c>
      <c r="AS704" t="str">
        <f t="shared" si="110"/>
        <v/>
      </c>
    </row>
    <row r="705" spans="1:45">
      <c r="A705" s="294"/>
      <c r="B705" s="295"/>
      <c r="C705" s="296"/>
      <c r="D705" s="296"/>
      <c r="E705" s="296"/>
      <c r="F705" s="296"/>
      <c r="G705" s="297"/>
      <c r="H705" s="303"/>
      <c r="I705" s="298"/>
      <c r="J705" s="298"/>
      <c r="K705" s="299"/>
      <c r="L705" s="304"/>
      <c r="M705" s="300"/>
      <c r="N705" s="301"/>
      <c r="P705" s="193" t="str">
        <f>IF(R705 = "", "", COUNT(R$4:$R705))</f>
        <v/>
      </c>
      <c r="Q705" s="193" t="str">
        <f t="shared" si="101"/>
        <v/>
      </c>
      <c r="R705" s="194" t="str">
        <f t="shared" si="102"/>
        <v/>
      </c>
      <c r="S705" s="195" t="str">
        <f t="shared" si="104"/>
        <v/>
      </c>
      <c r="T705" s="196" t="str">
        <f t="shared" si="105"/>
        <v/>
      </c>
      <c r="U705" s="197" t="str">
        <f t="shared" si="106"/>
        <v/>
      </c>
      <c r="V705" s="198" t="str">
        <f t="shared" si="103"/>
        <v/>
      </c>
      <c r="W705" s="339" t="str">
        <f t="shared" si="107"/>
        <v/>
      </c>
      <c r="X705" s="341" t="str">
        <f t="shared" si="108"/>
        <v/>
      </c>
      <c r="Y705" s="277"/>
      <c r="AR705" t="str">
        <f t="shared" si="109"/>
        <v/>
      </c>
      <c r="AS705" t="str">
        <f t="shared" si="110"/>
        <v/>
      </c>
    </row>
    <row r="706" spans="1:45">
      <c r="A706" s="294"/>
      <c r="B706" s="295"/>
      <c r="C706" s="296"/>
      <c r="D706" s="296"/>
      <c r="E706" s="296"/>
      <c r="F706" s="296"/>
      <c r="G706" s="297"/>
      <c r="H706" s="303"/>
      <c r="I706" s="298"/>
      <c r="J706" s="298"/>
      <c r="K706" s="299"/>
      <c r="L706" s="304"/>
      <c r="M706" s="300"/>
      <c r="N706" s="301"/>
      <c r="P706" s="193" t="str">
        <f>IF(R706 = "", "", COUNT(R$4:$R706))</f>
        <v/>
      </c>
      <c r="Q706" s="193" t="str">
        <f t="shared" si="101"/>
        <v/>
      </c>
      <c r="R706" s="194" t="str">
        <f t="shared" si="102"/>
        <v/>
      </c>
      <c r="S706" s="195" t="str">
        <f t="shared" si="104"/>
        <v/>
      </c>
      <c r="T706" s="196" t="str">
        <f t="shared" si="105"/>
        <v/>
      </c>
      <c r="U706" s="197" t="str">
        <f t="shared" si="106"/>
        <v/>
      </c>
      <c r="V706" s="198" t="str">
        <f t="shared" si="103"/>
        <v/>
      </c>
      <c r="W706" s="339" t="str">
        <f t="shared" si="107"/>
        <v/>
      </c>
      <c r="X706" s="341" t="str">
        <f t="shared" si="108"/>
        <v/>
      </c>
      <c r="Y706" s="277"/>
      <c r="AR706" t="str">
        <f t="shared" si="109"/>
        <v/>
      </c>
      <c r="AS706" t="str">
        <f t="shared" si="110"/>
        <v/>
      </c>
    </row>
    <row r="707" spans="1:45">
      <c r="A707" s="294"/>
      <c r="B707" s="295"/>
      <c r="C707" s="296"/>
      <c r="D707" s="296"/>
      <c r="E707" s="296"/>
      <c r="F707" s="296"/>
      <c r="G707" s="297"/>
      <c r="H707" s="303"/>
      <c r="I707" s="298"/>
      <c r="J707" s="298"/>
      <c r="K707" s="299"/>
      <c r="L707" s="304"/>
      <c r="M707" s="300"/>
      <c r="N707" s="301"/>
      <c r="P707" s="193" t="str">
        <f>IF(R707 = "", "", COUNT(R$4:$R707))</f>
        <v/>
      </c>
      <c r="Q707" s="193" t="str">
        <f t="shared" si="101"/>
        <v/>
      </c>
      <c r="R707" s="194" t="str">
        <f t="shared" si="102"/>
        <v/>
      </c>
      <c r="S707" s="195" t="str">
        <f t="shared" si="104"/>
        <v/>
      </c>
      <c r="T707" s="196" t="str">
        <f t="shared" si="105"/>
        <v/>
      </c>
      <c r="U707" s="197" t="str">
        <f t="shared" si="106"/>
        <v/>
      </c>
      <c r="V707" s="198" t="str">
        <f t="shared" si="103"/>
        <v/>
      </c>
      <c r="W707" s="339" t="str">
        <f t="shared" si="107"/>
        <v/>
      </c>
      <c r="X707" s="341" t="str">
        <f t="shared" si="108"/>
        <v/>
      </c>
      <c r="Y707" s="277"/>
      <c r="AR707" t="str">
        <f t="shared" si="109"/>
        <v/>
      </c>
      <c r="AS707" t="str">
        <f t="shared" si="110"/>
        <v/>
      </c>
    </row>
    <row r="708" spans="1:45">
      <c r="A708" s="294"/>
      <c r="B708" s="295"/>
      <c r="C708" s="296"/>
      <c r="D708" s="296"/>
      <c r="E708" s="296"/>
      <c r="F708" s="296"/>
      <c r="G708" s="297"/>
      <c r="H708" s="303"/>
      <c r="I708" s="298"/>
      <c r="J708" s="298"/>
      <c r="K708" s="299"/>
      <c r="L708" s="304"/>
      <c r="M708" s="300"/>
      <c r="N708" s="301"/>
      <c r="P708" s="193" t="str">
        <f>IF(R708 = "", "", COUNT(R$4:$R708))</f>
        <v/>
      </c>
      <c r="Q708" s="193" t="str">
        <f t="shared" ref="Q708:Q771" si="111">IF(C708 &gt; 0, YEAR(B708), "")</f>
        <v/>
      </c>
      <c r="R708" s="194" t="str">
        <f t="shared" ref="R708:R771" si="112">IF(A708="", "", IF(G708="",1,IF(G708="O",1,IF(G708="C",8.4,IF(G708="B",8.4,IF(G708="A",76.8,IF(G708="K",76.8,"ERR")))))))</f>
        <v/>
      </c>
      <c r="S708" s="195" t="str">
        <f t="shared" si="104"/>
        <v/>
      </c>
      <c r="T708" s="196" t="str">
        <f t="shared" si="105"/>
        <v/>
      </c>
      <c r="U708" s="197" t="str">
        <f t="shared" si="106"/>
        <v/>
      </c>
      <c r="V708" s="198" t="str">
        <f t="shared" ref="V708:V771" si="113">IF(IF(M708&lt;&gt;"",G708,"")=0, "O", IF(M708&lt;&gt;"",G708,""))</f>
        <v/>
      </c>
      <c r="W708" s="339" t="str">
        <f t="shared" si="107"/>
        <v/>
      </c>
      <c r="X708" s="341" t="str">
        <f t="shared" si="108"/>
        <v/>
      </c>
      <c r="Y708" s="277"/>
      <c r="AR708" t="str">
        <f t="shared" si="109"/>
        <v/>
      </c>
      <c r="AS708" t="str">
        <f t="shared" si="110"/>
        <v/>
      </c>
    </row>
    <row r="709" spans="1:45">
      <c r="A709" s="294"/>
      <c r="B709" s="295"/>
      <c r="C709" s="296"/>
      <c r="D709" s="296"/>
      <c r="E709" s="296"/>
      <c r="F709" s="296"/>
      <c r="G709" s="297"/>
      <c r="H709" s="303"/>
      <c r="I709" s="298"/>
      <c r="J709" s="298"/>
      <c r="K709" s="299"/>
      <c r="L709" s="304"/>
      <c r="M709" s="300"/>
      <c r="N709" s="301"/>
      <c r="P709" s="193" t="str">
        <f>IF(R709 = "", "", COUNT(R$4:$R709))</f>
        <v/>
      </c>
      <c r="Q709" s="193" t="str">
        <f t="shared" si="111"/>
        <v/>
      </c>
      <c r="R709" s="194" t="str">
        <f t="shared" si="112"/>
        <v/>
      </c>
      <c r="S709" s="195" t="str">
        <f t="shared" ref="S709:S772" si="114">IF(L709&lt;&gt;"",R709,"")</f>
        <v/>
      </c>
      <c r="T709" s="196" t="str">
        <f t="shared" ref="T709:T772" si="115">IF(IF(L709&lt;&gt;"",G709,"")=0, "O", IF(L709&lt;&gt;"",G709,""))</f>
        <v/>
      </c>
      <c r="U709" s="197" t="str">
        <f t="shared" ref="U709:U772" si="116">IF(M709&lt;&gt;"",R709,"")</f>
        <v/>
      </c>
      <c r="V709" s="198" t="str">
        <f t="shared" si="113"/>
        <v/>
      </c>
      <c r="W709" s="339" t="str">
        <f t="shared" ref="W709:W772" si="117">IF(N709&lt;&gt;"",R709,"")</f>
        <v/>
      </c>
      <c r="X709" s="341" t="str">
        <f t="shared" ref="X709:X772" si="118">IF(IF(N709&lt;&gt;"",G709,"")=0, "O", IF(N709&lt;&gt;"",G709,""))</f>
        <v/>
      </c>
      <c r="Y709" s="277"/>
      <c r="AR709" t="str">
        <f t="shared" ref="AR709:AR772" si="119">IF(P709&gt;0, P709, "")</f>
        <v/>
      </c>
      <c r="AS709" t="str">
        <f t="shared" ref="AS709:AS772" si="120">IF(OR(L709="Y",M709="Y",N709="Y"),"Y","")</f>
        <v/>
      </c>
    </row>
    <row r="710" spans="1:45">
      <c r="A710" s="294"/>
      <c r="B710" s="295"/>
      <c r="C710" s="296"/>
      <c r="D710" s="296"/>
      <c r="E710" s="296"/>
      <c r="F710" s="296"/>
      <c r="G710" s="297"/>
      <c r="H710" s="303"/>
      <c r="I710" s="298"/>
      <c r="J710" s="298"/>
      <c r="K710" s="299"/>
      <c r="L710" s="304"/>
      <c r="M710" s="300"/>
      <c r="N710" s="301"/>
      <c r="P710" s="193" t="str">
        <f>IF(R710 = "", "", COUNT(R$4:$R710))</f>
        <v/>
      </c>
      <c r="Q710" s="193" t="str">
        <f t="shared" si="111"/>
        <v/>
      </c>
      <c r="R710" s="194" t="str">
        <f t="shared" si="112"/>
        <v/>
      </c>
      <c r="S710" s="195" t="str">
        <f t="shared" si="114"/>
        <v/>
      </c>
      <c r="T710" s="196" t="str">
        <f t="shared" si="115"/>
        <v/>
      </c>
      <c r="U710" s="197" t="str">
        <f t="shared" si="116"/>
        <v/>
      </c>
      <c r="V710" s="198" t="str">
        <f t="shared" si="113"/>
        <v/>
      </c>
      <c r="W710" s="339" t="str">
        <f t="shared" si="117"/>
        <v/>
      </c>
      <c r="X710" s="341" t="str">
        <f t="shared" si="118"/>
        <v/>
      </c>
      <c r="Y710" s="277"/>
      <c r="AR710" t="str">
        <f t="shared" si="119"/>
        <v/>
      </c>
      <c r="AS710" t="str">
        <f t="shared" si="120"/>
        <v/>
      </c>
    </row>
    <row r="711" spans="1:45">
      <c r="A711" s="294"/>
      <c r="B711" s="295"/>
      <c r="C711" s="296"/>
      <c r="D711" s="296"/>
      <c r="E711" s="296"/>
      <c r="F711" s="296"/>
      <c r="G711" s="297"/>
      <c r="H711" s="303"/>
      <c r="I711" s="298"/>
      <c r="J711" s="298"/>
      <c r="K711" s="299"/>
      <c r="L711" s="304"/>
      <c r="M711" s="300"/>
      <c r="N711" s="301"/>
      <c r="P711" s="193" t="str">
        <f>IF(R711 = "", "", COUNT(R$4:$R711))</f>
        <v/>
      </c>
      <c r="Q711" s="193" t="str">
        <f t="shared" si="111"/>
        <v/>
      </c>
      <c r="R711" s="194" t="str">
        <f t="shared" si="112"/>
        <v/>
      </c>
      <c r="S711" s="195" t="str">
        <f t="shared" si="114"/>
        <v/>
      </c>
      <c r="T711" s="196" t="str">
        <f t="shared" si="115"/>
        <v/>
      </c>
      <c r="U711" s="197" t="str">
        <f t="shared" si="116"/>
        <v/>
      </c>
      <c r="V711" s="198" t="str">
        <f t="shared" si="113"/>
        <v/>
      </c>
      <c r="W711" s="339" t="str">
        <f t="shared" si="117"/>
        <v/>
      </c>
      <c r="X711" s="341" t="str">
        <f t="shared" si="118"/>
        <v/>
      </c>
      <c r="Y711" s="277"/>
      <c r="AR711" t="str">
        <f t="shared" si="119"/>
        <v/>
      </c>
      <c r="AS711" t="str">
        <f t="shared" si="120"/>
        <v/>
      </c>
    </row>
    <row r="712" spans="1:45">
      <c r="A712" s="294"/>
      <c r="B712" s="295"/>
      <c r="C712" s="296"/>
      <c r="D712" s="296"/>
      <c r="E712" s="296"/>
      <c r="F712" s="296"/>
      <c r="G712" s="297"/>
      <c r="H712" s="303"/>
      <c r="I712" s="298"/>
      <c r="J712" s="298"/>
      <c r="K712" s="299"/>
      <c r="L712" s="304"/>
      <c r="M712" s="300"/>
      <c r="N712" s="301"/>
      <c r="P712" s="193" t="str">
        <f>IF(R712 = "", "", COUNT(R$4:$R712))</f>
        <v/>
      </c>
      <c r="Q712" s="193" t="str">
        <f t="shared" si="111"/>
        <v/>
      </c>
      <c r="R712" s="194" t="str">
        <f t="shared" si="112"/>
        <v/>
      </c>
      <c r="S712" s="195" t="str">
        <f t="shared" si="114"/>
        <v/>
      </c>
      <c r="T712" s="196" t="str">
        <f t="shared" si="115"/>
        <v/>
      </c>
      <c r="U712" s="197" t="str">
        <f t="shared" si="116"/>
        <v/>
      </c>
      <c r="V712" s="198" t="str">
        <f t="shared" si="113"/>
        <v/>
      </c>
      <c r="W712" s="339" t="str">
        <f t="shared" si="117"/>
        <v/>
      </c>
      <c r="X712" s="341" t="str">
        <f t="shared" si="118"/>
        <v/>
      </c>
      <c r="Y712" s="277"/>
      <c r="AR712" t="str">
        <f t="shared" si="119"/>
        <v/>
      </c>
      <c r="AS712" t="str">
        <f t="shared" si="120"/>
        <v/>
      </c>
    </row>
    <row r="713" spans="1:45">
      <c r="A713" s="294"/>
      <c r="B713" s="295"/>
      <c r="C713" s="296"/>
      <c r="D713" s="296"/>
      <c r="E713" s="296"/>
      <c r="F713" s="296"/>
      <c r="G713" s="297"/>
      <c r="H713" s="303"/>
      <c r="I713" s="298"/>
      <c r="J713" s="298"/>
      <c r="K713" s="299"/>
      <c r="L713" s="304"/>
      <c r="M713" s="300"/>
      <c r="N713" s="301"/>
      <c r="P713" s="193" t="str">
        <f>IF(R713 = "", "", COUNT(R$4:$R713))</f>
        <v/>
      </c>
      <c r="Q713" s="193" t="str">
        <f t="shared" si="111"/>
        <v/>
      </c>
      <c r="R713" s="194" t="str">
        <f t="shared" si="112"/>
        <v/>
      </c>
      <c r="S713" s="195" t="str">
        <f t="shared" si="114"/>
        <v/>
      </c>
      <c r="T713" s="196" t="str">
        <f t="shared" si="115"/>
        <v/>
      </c>
      <c r="U713" s="197" t="str">
        <f t="shared" si="116"/>
        <v/>
      </c>
      <c r="V713" s="198" t="str">
        <f t="shared" si="113"/>
        <v/>
      </c>
      <c r="W713" s="339" t="str">
        <f t="shared" si="117"/>
        <v/>
      </c>
      <c r="X713" s="341" t="str">
        <f t="shared" si="118"/>
        <v/>
      </c>
      <c r="Y713" s="277"/>
      <c r="AR713" t="str">
        <f t="shared" si="119"/>
        <v/>
      </c>
      <c r="AS713" t="str">
        <f t="shared" si="120"/>
        <v/>
      </c>
    </row>
    <row r="714" spans="1:45">
      <c r="A714" s="294"/>
      <c r="B714" s="295"/>
      <c r="C714" s="296"/>
      <c r="D714" s="296"/>
      <c r="E714" s="296"/>
      <c r="F714" s="296"/>
      <c r="G714" s="297"/>
      <c r="H714" s="303"/>
      <c r="I714" s="298"/>
      <c r="J714" s="298"/>
      <c r="K714" s="299"/>
      <c r="L714" s="304"/>
      <c r="M714" s="300"/>
      <c r="N714" s="301"/>
      <c r="P714" s="193" t="str">
        <f>IF(R714 = "", "", COUNT(R$4:$R714))</f>
        <v/>
      </c>
      <c r="Q714" s="193" t="str">
        <f t="shared" si="111"/>
        <v/>
      </c>
      <c r="R714" s="194" t="str">
        <f t="shared" si="112"/>
        <v/>
      </c>
      <c r="S714" s="195" t="str">
        <f t="shared" si="114"/>
        <v/>
      </c>
      <c r="T714" s="196" t="str">
        <f t="shared" si="115"/>
        <v/>
      </c>
      <c r="U714" s="197" t="str">
        <f t="shared" si="116"/>
        <v/>
      </c>
      <c r="V714" s="198" t="str">
        <f t="shared" si="113"/>
        <v/>
      </c>
      <c r="W714" s="339" t="str">
        <f t="shared" si="117"/>
        <v/>
      </c>
      <c r="X714" s="341" t="str">
        <f t="shared" si="118"/>
        <v/>
      </c>
      <c r="Y714" s="277"/>
      <c r="AR714" t="str">
        <f t="shared" si="119"/>
        <v/>
      </c>
      <c r="AS714" t="str">
        <f t="shared" si="120"/>
        <v/>
      </c>
    </row>
    <row r="715" spans="1:45">
      <c r="A715" s="294"/>
      <c r="B715" s="295"/>
      <c r="C715" s="296"/>
      <c r="D715" s="296"/>
      <c r="E715" s="296"/>
      <c r="F715" s="296"/>
      <c r="G715" s="297"/>
      <c r="H715" s="303"/>
      <c r="I715" s="298"/>
      <c r="J715" s="298"/>
      <c r="K715" s="299"/>
      <c r="L715" s="304"/>
      <c r="M715" s="300"/>
      <c r="N715" s="301"/>
      <c r="P715" s="193" t="str">
        <f>IF(R715 = "", "", COUNT(R$4:$R715))</f>
        <v/>
      </c>
      <c r="Q715" s="193" t="str">
        <f t="shared" si="111"/>
        <v/>
      </c>
      <c r="R715" s="194" t="str">
        <f t="shared" si="112"/>
        <v/>
      </c>
      <c r="S715" s="195" t="str">
        <f t="shared" si="114"/>
        <v/>
      </c>
      <c r="T715" s="196" t="str">
        <f t="shared" si="115"/>
        <v/>
      </c>
      <c r="U715" s="197" t="str">
        <f t="shared" si="116"/>
        <v/>
      </c>
      <c r="V715" s="198" t="str">
        <f t="shared" si="113"/>
        <v/>
      </c>
      <c r="W715" s="339" t="str">
        <f t="shared" si="117"/>
        <v/>
      </c>
      <c r="X715" s="341" t="str">
        <f t="shared" si="118"/>
        <v/>
      </c>
      <c r="Y715" s="277"/>
      <c r="AR715" t="str">
        <f t="shared" si="119"/>
        <v/>
      </c>
      <c r="AS715" t="str">
        <f t="shared" si="120"/>
        <v/>
      </c>
    </row>
    <row r="716" spans="1:45">
      <c r="A716" s="294"/>
      <c r="B716" s="295"/>
      <c r="C716" s="296"/>
      <c r="D716" s="296"/>
      <c r="E716" s="296"/>
      <c r="F716" s="296"/>
      <c r="G716" s="297"/>
      <c r="H716" s="303"/>
      <c r="I716" s="298"/>
      <c r="J716" s="298"/>
      <c r="K716" s="299"/>
      <c r="L716" s="304"/>
      <c r="M716" s="300"/>
      <c r="N716" s="301"/>
      <c r="P716" s="193" t="str">
        <f>IF(R716 = "", "", COUNT(R$4:$R716))</f>
        <v/>
      </c>
      <c r="Q716" s="193" t="str">
        <f t="shared" si="111"/>
        <v/>
      </c>
      <c r="R716" s="194" t="str">
        <f t="shared" si="112"/>
        <v/>
      </c>
      <c r="S716" s="195" t="str">
        <f t="shared" si="114"/>
        <v/>
      </c>
      <c r="T716" s="196" t="str">
        <f t="shared" si="115"/>
        <v/>
      </c>
      <c r="U716" s="197" t="str">
        <f t="shared" si="116"/>
        <v/>
      </c>
      <c r="V716" s="198" t="str">
        <f t="shared" si="113"/>
        <v/>
      </c>
      <c r="W716" s="339" t="str">
        <f t="shared" si="117"/>
        <v/>
      </c>
      <c r="X716" s="341" t="str">
        <f t="shared" si="118"/>
        <v/>
      </c>
      <c r="Y716" s="277"/>
      <c r="AR716" t="str">
        <f t="shared" si="119"/>
        <v/>
      </c>
      <c r="AS716" t="str">
        <f t="shared" si="120"/>
        <v/>
      </c>
    </row>
    <row r="717" spans="1:45">
      <c r="A717" s="294"/>
      <c r="B717" s="295"/>
      <c r="C717" s="296"/>
      <c r="D717" s="296"/>
      <c r="E717" s="296"/>
      <c r="F717" s="296"/>
      <c r="G717" s="297"/>
      <c r="H717" s="303"/>
      <c r="I717" s="298"/>
      <c r="J717" s="298"/>
      <c r="K717" s="299"/>
      <c r="L717" s="304"/>
      <c r="M717" s="300"/>
      <c r="N717" s="301"/>
      <c r="P717" s="193" t="str">
        <f>IF(R717 = "", "", COUNT(R$4:$R717))</f>
        <v/>
      </c>
      <c r="Q717" s="193" t="str">
        <f t="shared" si="111"/>
        <v/>
      </c>
      <c r="R717" s="194" t="str">
        <f t="shared" si="112"/>
        <v/>
      </c>
      <c r="S717" s="195" t="str">
        <f t="shared" si="114"/>
        <v/>
      </c>
      <c r="T717" s="196" t="str">
        <f t="shared" si="115"/>
        <v/>
      </c>
      <c r="U717" s="197" t="str">
        <f t="shared" si="116"/>
        <v/>
      </c>
      <c r="V717" s="198" t="str">
        <f t="shared" si="113"/>
        <v/>
      </c>
      <c r="W717" s="339" t="str">
        <f t="shared" si="117"/>
        <v/>
      </c>
      <c r="X717" s="341" t="str">
        <f t="shared" si="118"/>
        <v/>
      </c>
      <c r="Y717" s="277"/>
      <c r="AR717" t="str">
        <f t="shared" si="119"/>
        <v/>
      </c>
      <c r="AS717" t="str">
        <f t="shared" si="120"/>
        <v/>
      </c>
    </row>
    <row r="718" spans="1:45">
      <c r="A718" s="294"/>
      <c r="B718" s="295"/>
      <c r="C718" s="296"/>
      <c r="D718" s="296"/>
      <c r="E718" s="296"/>
      <c r="F718" s="296"/>
      <c r="G718" s="297"/>
      <c r="H718" s="303"/>
      <c r="I718" s="298"/>
      <c r="J718" s="298"/>
      <c r="K718" s="299"/>
      <c r="L718" s="304"/>
      <c r="M718" s="300"/>
      <c r="N718" s="301"/>
      <c r="P718" s="193" t="str">
        <f>IF(R718 = "", "", COUNT(R$4:$R718))</f>
        <v/>
      </c>
      <c r="Q718" s="193" t="str">
        <f t="shared" si="111"/>
        <v/>
      </c>
      <c r="R718" s="194" t="str">
        <f t="shared" si="112"/>
        <v/>
      </c>
      <c r="S718" s="195" t="str">
        <f t="shared" si="114"/>
        <v/>
      </c>
      <c r="T718" s="196" t="str">
        <f t="shared" si="115"/>
        <v/>
      </c>
      <c r="U718" s="197" t="str">
        <f t="shared" si="116"/>
        <v/>
      </c>
      <c r="V718" s="198" t="str">
        <f t="shared" si="113"/>
        <v/>
      </c>
      <c r="W718" s="339" t="str">
        <f t="shared" si="117"/>
        <v/>
      </c>
      <c r="X718" s="341" t="str">
        <f t="shared" si="118"/>
        <v/>
      </c>
      <c r="Y718" s="277"/>
      <c r="AR718" t="str">
        <f t="shared" si="119"/>
        <v/>
      </c>
      <c r="AS718" t="str">
        <f t="shared" si="120"/>
        <v/>
      </c>
    </row>
    <row r="719" spans="1:45">
      <c r="A719" s="294"/>
      <c r="B719" s="295"/>
      <c r="C719" s="296"/>
      <c r="D719" s="296"/>
      <c r="E719" s="296"/>
      <c r="F719" s="296"/>
      <c r="G719" s="297"/>
      <c r="H719" s="303"/>
      <c r="I719" s="298"/>
      <c r="J719" s="298"/>
      <c r="K719" s="299"/>
      <c r="L719" s="304"/>
      <c r="M719" s="300"/>
      <c r="N719" s="301"/>
      <c r="P719" s="193" t="str">
        <f>IF(R719 = "", "", COUNT(R$4:$R719))</f>
        <v/>
      </c>
      <c r="Q719" s="193" t="str">
        <f t="shared" si="111"/>
        <v/>
      </c>
      <c r="R719" s="194" t="str">
        <f t="shared" si="112"/>
        <v/>
      </c>
      <c r="S719" s="195" t="str">
        <f t="shared" si="114"/>
        <v/>
      </c>
      <c r="T719" s="196" t="str">
        <f t="shared" si="115"/>
        <v/>
      </c>
      <c r="U719" s="197" t="str">
        <f t="shared" si="116"/>
        <v/>
      </c>
      <c r="V719" s="198" t="str">
        <f t="shared" si="113"/>
        <v/>
      </c>
      <c r="W719" s="339" t="str">
        <f t="shared" si="117"/>
        <v/>
      </c>
      <c r="X719" s="341" t="str">
        <f t="shared" si="118"/>
        <v/>
      </c>
      <c r="Y719" s="277"/>
      <c r="AR719" t="str">
        <f t="shared" si="119"/>
        <v/>
      </c>
      <c r="AS719" t="str">
        <f t="shared" si="120"/>
        <v/>
      </c>
    </row>
    <row r="720" spans="1:45">
      <c r="A720" s="294"/>
      <c r="B720" s="295"/>
      <c r="C720" s="296"/>
      <c r="D720" s="296"/>
      <c r="E720" s="296"/>
      <c r="F720" s="296"/>
      <c r="G720" s="297"/>
      <c r="H720" s="303"/>
      <c r="I720" s="298"/>
      <c r="J720" s="298"/>
      <c r="K720" s="299"/>
      <c r="L720" s="304"/>
      <c r="M720" s="300"/>
      <c r="N720" s="301"/>
      <c r="P720" s="193" t="str">
        <f>IF(R720 = "", "", COUNT(R$4:$R720))</f>
        <v/>
      </c>
      <c r="Q720" s="193" t="str">
        <f t="shared" si="111"/>
        <v/>
      </c>
      <c r="R720" s="194" t="str">
        <f t="shared" si="112"/>
        <v/>
      </c>
      <c r="S720" s="195" t="str">
        <f t="shared" si="114"/>
        <v/>
      </c>
      <c r="T720" s="196" t="str">
        <f t="shared" si="115"/>
        <v/>
      </c>
      <c r="U720" s="197" t="str">
        <f t="shared" si="116"/>
        <v/>
      </c>
      <c r="V720" s="198" t="str">
        <f t="shared" si="113"/>
        <v/>
      </c>
      <c r="W720" s="339" t="str">
        <f t="shared" si="117"/>
        <v/>
      </c>
      <c r="X720" s="341" t="str">
        <f t="shared" si="118"/>
        <v/>
      </c>
      <c r="Y720" s="277"/>
      <c r="AR720" t="str">
        <f t="shared" si="119"/>
        <v/>
      </c>
      <c r="AS720" t="str">
        <f t="shared" si="120"/>
        <v/>
      </c>
    </row>
    <row r="721" spans="1:45">
      <c r="A721" s="294"/>
      <c r="B721" s="295"/>
      <c r="C721" s="296"/>
      <c r="D721" s="296"/>
      <c r="E721" s="296"/>
      <c r="F721" s="296"/>
      <c r="G721" s="297"/>
      <c r="H721" s="303"/>
      <c r="I721" s="298"/>
      <c r="J721" s="298"/>
      <c r="K721" s="299"/>
      <c r="L721" s="304"/>
      <c r="M721" s="300"/>
      <c r="N721" s="301"/>
      <c r="P721" s="193" t="str">
        <f>IF(R721 = "", "", COUNT(R$4:$R721))</f>
        <v/>
      </c>
      <c r="Q721" s="193" t="str">
        <f t="shared" si="111"/>
        <v/>
      </c>
      <c r="R721" s="194" t="str">
        <f t="shared" si="112"/>
        <v/>
      </c>
      <c r="S721" s="195" t="str">
        <f t="shared" si="114"/>
        <v/>
      </c>
      <c r="T721" s="196" t="str">
        <f t="shared" si="115"/>
        <v/>
      </c>
      <c r="U721" s="197" t="str">
        <f t="shared" si="116"/>
        <v/>
      </c>
      <c r="V721" s="198" t="str">
        <f t="shared" si="113"/>
        <v/>
      </c>
      <c r="W721" s="339" t="str">
        <f t="shared" si="117"/>
        <v/>
      </c>
      <c r="X721" s="341" t="str">
        <f t="shared" si="118"/>
        <v/>
      </c>
      <c r="Y721" s="277"/>
      <c r="AR721" t="str">
        <f t="shared" si="119"/>
        <v/>
      </c>
      <c r="AS721" t="str">
        <f t="shared" si="120"/>
        <v/>
      </c>
    </row>
    <row r="722" spans="1:45">
      <c r="A722" s="294"/>
      <c r="B722" s="295"/>
      <c r="C722" s="296"/>
      <c r="D722" s="296"/>
      <c r="E722" s="296"/>
      <c r="F722" s="296"/>
      <c r="G722" s="297"/>
      <c r="H722" s="303"/>
      <c r="I722" s="298"/>
      <c r="J722" s="298"/>
      <c r="K722" s="299"/>
      <c r="L722" s="304"/>
      <c r="M722" s="300"/>
      <c r="N722" s="301"/>
      <c r="P722" s="193" t="str">
        <f>IF(R722 = "", "", COUNT(R$4:$R722))</f>
        <v/>
      </c>
      <c r="Q722" s="193" t="str">
        <f t="shared" si="111"/>
        <v/>
      </c>
      <c r="R722" s="194" t="str">
        <f t="shared" si="112"/>
        <v/>
      </c>
      <c r="S722" s="195" t="str">
        <f t="shared" si="114"/>
        <v/>
      </c>
      <c r="T722" s="196" t="str">
        <f t="shared" si="115"/>
        <v/>
      </c>
      <c r="U722" s="197" t="str">
        <f t="shared" si="116"/>
        <v/>
      </c>
      <c r="V722" s="198" t="str">
        <f t="shared" si="113"/>
        <v/>
      </c>
      <c r="W722" s="339" t="str">
        <f t="shared" si="117"/>
        <v/>
      </c>
      <c r="X722" s="341" t="str">
        <f t="shared" si="118"/>
        <v/>
      </c>
      <c r="Y722" s="277"/>
      <c r="AR722" t="str">
        <f t="shared" si="119"/>
        <v/>
      </c>
      <c r="AS722" t="str">
        <f t="shared" si="120"/>
        <v/>
      </c>
    </row>
    <row r="723" spans="1:45">
      <c r="A723" s="294"/>
      <c r="B723" s="295"/>
      <c r="C723" s="296"/>
      <c r="D723" s="296"/>
      <c r="E723" s="296"/>
      <c r="F723" s="296"/>
      <c r="G723" s="297"/>
      <c r="H723" s="303"/>
      <c r="I723" s="298"/>
      <c r="J723" s="298"/>
      <c r="K723" s="299"/>
      <c r="L723" s="304"/>
      <c r="M723" s="300"/>
      <c r="N723" s="301"/>
      <c r="P723" s="193" t="str">
        <f>IF(R723 = "", "", COUNT(R$4:$R723))</f>
        <v/>
      </c>
      <c r="Q723" s="193" t="str">
        <f t="shared" si="111"/>
        <v/>
      </c>
      <c r="R723" s="194" t="str">
        <f t="shared" si="112"/>
        <v/>
      </c>
      <c r="S723" s="195" t="str">
        <f t="shared" si="114"/>
        <v/>
      </c>
      <c r="T723" s="196" t="str">
        <f t="shared" si="115"/>
        <v/>
      </c>
      <c r="U723" s="197" t="str">
        <f t="shared" si="116"/>
        <v/>
      </c>
      <c r="V723" s="198" t="str">
        <f t="shared" si="113"/>
        <v/>
      </c>
      <c r="W723" s="339" t="str">
        <f t="shared" si="117"/>
        <v/>
      </c>
      <c r="X723" s="341" t="str">
        <f t="shared" si="118"/>
        <v/>
      </c>
      <c r="Y723" s="277"/>
      <c r="AR723" t="str">
        <f t="shared" si="119"/>
        <v/>
      </c>
      <c r="AS723" t="str">
        <f t="shared" si="120"/>
        <v/>
      </c>
    </row>
    <row r="724" spans="1:45">
      <c r="A724" s="294"/>
      <c r="B724" s="295"/>
      <c r="C724" s="296"/>
      <c r="D724" s="296"/>
      <c r="E724" s="296"/>
      <c r="F724" s="296"/>
      <c r="G724" s="297"/>
      <c r="H724" s="303"/>
      <c r="I724" s="298"/>
      <c r="J724" s="298"/>
      <c r="K724" s="299"/>
      <c r="L724" s="304"/>
      <c r="M724" s="300"/>
      <c r="N724" s="301"/>
      <c r="P724" s="193" t="str">
        <f>IF(R724 = "", "", COUNT(R$4:$R724))</f>
        <v/>
      </c>
      <c r="Q724" s="193" t="str">
        <f t="shared" si="111"/>
        <v/>
      </c>
      <c r="R724" s="194" t="str">
        <f t="shared" si="112"/>
        <v/>
      </c>
      <c r="S724" s="195" t="str">
        <f t="shared" si="114"/>
        <v/>
      </c>
      <c r="T724" s="196" t="str">
        <f t="shared" si="115"/>
        <v/>
      </c>
      <c r="U724" s="197" t="str">
        <f t="shared" si="116"/>
        <v/>
      </c>
      <c r="V724" s="198" t="str">
        <f t="shared" si="113"/>
        <v/>
      </c>
      <c r="W724" s="339" t="str">
        <f t="shared" si="117"/>
        <v/>
      </c>
      <c r="X724" s="341" t="str">
        <f t="shared" si="118"/>
        <v/>
      </c>
      <c r="Y724" s="277"/>
      <c r="AR724" t="str">
        <f t="shared" si="119"/>
        <v/>
      </c>
      <c r="AS724" t="str">
        <f t="shared" si="120"/>
        <v/>
      </c>
    </row>
    <row r="725" spans="1:45">
      <c r="A725" s="294"/>
      <c r="B725" s="295"/>
      <c r="C725" s="296"/>
      <c r="D725" s="296"/>
      <c r="E725" s="296"/>
      <c r="F725" s="296"/>
      <c r="G725" s="297"/>
      <c r="H725" s="303"/>
      <c r="I725" s="298"/>
      <c r="J725" s="298"/>
      <c r="K725" s="299"/>
      <c r="L725" s="304"/>
      <c r="M725" s="300"/>
      <c r="N725" s="301"/>
      <c r="P725" s="193" t="str">
        <f>IF(R725 = "", "", COUNT(R$4:$R725))</f>
        <v/>
      </c>
      <c r="Q725" s="193" t="str">
        <f t="shared" si="111"/>
        <v/>
      </c>
      <c r="R725" s="194" t="str">
        <f t="shared" si="112"/>
        <v/>
      </c>
      <c r="S725" s="195" t="str">
        <f t="shared" si="114"/>
        <v/>
      </c>
      <c r="T725" s="196" t="str">
        <f t="shared" si="115"/>
        <v/>
      </c>
      <c r="U725" s="197" t="str">
        <f t="shared" si="116"/>
        <v/>
      </c>
      <c r="V725" s="198" t="str">
        <f t="shared" si="113"/>
        <v/>
      </c>
      <c r="W725" s="339" t="str">
        <f t="shared" si="117"/>
        <v/>
      </c>
      <c r="X725" s="341" t="str">
        <f t="shared" si="118"/>
        <v/>
      </c>
      <c r="Y725" s="277"/>
      <c r="AR725" t="str">
        <f t="shared" si="119"/>
        <v/>
      </c>
      <c r="AS725" t="str">
        <f t="shared" si="120"/>
        <v/>
      </c>
    </row>
    <row r="726" spans="1:45">
      <c r="A726" s="294"/>
      <c r="B726" s="295"/>
      <c r="C726" s="296"/>
      <c r="D726" s="296"/>
      <c r="E726" s="296"/>
      <c r="F726" s="296"/>
      <c r="G726" s="297"/>
      <c r="H726" s="303"/>
      <c r="I726" s="298"/>
      <c r="J726" s="298"/>
      <c r="K726" s="299"/>
      <c r="L726" s="304"/>
      <c r="M726" s="300"/>
      <c r="N726" s="301"/>
      <c r="P726" s="193" t="str">
        <f>IF(R726 = "", "", COUNT(R$4:$R726))</f>
        <v/>
      </c>
      <c r="Q726" s="193" t="str">
        <f t="shared" si="111"/>
        <v/>
      </c>
      <c r="R726" s="194" t="str">
        <f t="shared" si="112"/>
        <v/>
      </c>
      <c r="S726" s="195" t="str">
        <f t="shared" si="114"/>
        <v/>
      </c>
      <c r="T726" s="196" t="str">
        <f t="shared" si="115"/>
        <v/>
      </c>
      <c r="U726" s="197" t="str">
        <f t="shared" si="116"/>
        <v/>
      </c>
      <c r="V726" s="198" t="str">
        <f t="shared" si="113"/>
        <v/>
      </c>
      <c r="W726" s="339" t="str">
        <f t="shared" si="117"/>
        <v/>
      </c>
      <c r="X726" s="341" t="str">
        <f t="shared" si="118"/>
        <v/>
      </c>
      <c r="Y726" s="277"/>
      <c r="AR726" t="str">
        <f t="shared" si="119"/>
        <v/>
      </c>
      <c r="AS726" t="str">
        <f t="shared" si="120"/>
        <v/>
      </c>
    </row>
    <row r="727" spans="1:45">
      <c r="A727" s="294"/>
      <c r="B727" s="295"/>
      <c r="C727" s="296"/>
      <c r="D727" s="296"/>
      <c r="E727" s="296"/>
      <c r="F727" s="296"/>
      <c r="G727" s="297"/>
      <c r="H727" s="303"/>
      <c r="I727" s="298"/>
      <c r="J727" s="298"/>
      <c r="K727" s="299"/>
      <c r="L727" s="304"/>
      <c r="M727" s="300"/>
      <c r="N727" s="301"/>
      <c r="P727" s="193" t="str">
        <f>IF(R727 = "", "", COUNT(R$4:$R727))</f>
        <v/>
      </c>
      <c r="Q727" s="193" t="str">
        <f t="shared" si="111"/>
        <v/>
      </c>
      <c r="R727" s="194" t="str">
        <f t="shared" si="112"/>
        <v/>
      </c>
      <c r="S727" s="195" t="str">
        <f t="shared" si="114"/>
        <v/>
      </c>
      <c r="T727" s="196" t="str">
        <f t="shared" si="115"/>
        <v/>
      </c>
      <c r="U727" s="197" t="str">
        <f t="shared" si="116"/>
        <v/>
      </c>
      <c r="V727" s="198" t="str">
        <f t="shared" si="113"/>
        <v/>
      </c>
      <c r="W727" s="339" t="str">
        <f t="shared" si="117"/>
        <v/>
      </c>
      <c r="X727" s="341" t="str">
        <f t="shared" si="118"/>
        <v/>
      </c>
      <c r="Y727" s="277"/>
      <c r="AR727" t="str">
        <f t="shared" si="119"/>
        <v/>
      </c>
      <c r="AS727" t="str">
        <f t="shared" si="120"/>
        <v/>
      </c>
    </row>
    <row r="728" spans="1:45">
      <c r="A728" s="294"/>
      <c r="B728" s="295"/>
      <c r="C728" s="296"/>
      <c r="D728" s="296"/>
      <c r="E728" s="296"/>
      <c r="F728" s="296"/>
      <c r="G728" s="297"/>
      <c r="H728" s="303"/>
      <c r="I728" s="298"/>
      <c r="J728" s="298"/>
      <c r="K728" s="299"/>
      <c r="L728" s="304"/>
      <c r="M728" s="300"/>
      <c r="N728" s="301"/>
      <c r="P728" s="193" t="str">
        <f>IF(R728 = "", "", COUNT(R$4:$R728))</f>
        <v/>
      </c>
      <c r="Q728" s="193" t="str">
        <f t="shared" si="111"/>
        <v/>
      </c>
      <c r="R728" s="194" t="str">
        <f t="shared" si="112"/>
        <v/>
      </c>
      <c r="S728" s="195" t="str">
        <f t="shared" si="114"/>
        <v/>
      </c>
      <c r="T728" s="196" t="str">
        <f t="shared" si="115"/>
        <v/>
      </c>
      <c r="U728" s="197" t="str">
        <f t="shared" si="116"/>
        <v/>
      </c>
      <c r="V728" s="198" t="str">
        <f t="shared" si="113"/>
        <v/>
      </c>
      <c r="W728" s="339" t="str">
        <f t="shared" si="117"/>
        <v/>
      </c>
      <c r="X728" s="341" t="str">
        <f t="shared" si="118"/>
        <v/>
      </c>
      <c r="Y728" s="277"/>
      <c r="AR728" t="str">
        <f t="shared" si="119"/>
        <v/>
      </c>
      <c r="AS728" t="str">
        <f t="shared" si="120"/>
        <v/>
      </c>
    </row>
    <row r="729" spans="1:45">
      <c r="A729" s="294"/>
      <c r="B729" s="295"/>
      <c r="C729" s="296"/>
      <c r="D729" s="296"/>
      <c r="E729" s="296"/>
      <c r="F729" s="296"/>
      <c r="G729" s="297"/>
      <c r="H729" s="303"/>
      <c r="I729" s="298"/>
      <c r="J729" s="298"/>
      <c r="K729" s="299"/>
      <c r="L729" s="304"/>
      <c r="M729" s="300"/>
      <c r="N729" s="301"/>
      <c r="P729" s="193" t="str">
        <f>IF(R729 = "", "", COUNT(R$4:$R729))</f>
        <v/>
      </c>
      <c r="Q729" s="193" t="str">
        <f t="shared" si="111"/>
        <v/>
      </c>
      <c r="R729" s="194" t="str">
        <f t="shared" si="112"/>
        <v/>
      </c>
      <c r="S729" s="195" t="str">
        <f t="shared" si="114"/>
        <v/>
      </c>
      <c r="T729" s="196" t="str">
        <f t="shared" si="115"/>
        <v/>
      </c>
      <c r="U729" s="197" t="str">
        <f t="shared" si="116"/>
        <v/>
      </c>
      <c r="V729" s="198" t="str">
        <f t="shared" si="113"/>
        <v/>
      </c>
      <c r="W729" s="339" t="str">
        <f t="shared" si="117"/>
        <v/>
      </c>
      <c r="X729" s="341" t="str">
        <f t="shared" si="118"/>
        <v/>
      </c>
      <c r="Y729" s="277"/>
      <c r="AR729" t="str">
        <f t="shared" si="119"/>
        <v/>
      </c>
      <c r="AS729" t="str">
        <f t="shared" si="120"/>
        <v/>
      </c>
    </row>
    <row r="730" spans="1:45">
      <c r="A730" s="294"/>
      <c r="B730" s="295"/>
      <c r="C730" s="296"/>
      <c r="D730" s="296"/>
      <c r="E730" s="296"/>
      <c r="F730" s="296"/>
      <c r="G730" s="297"/>
      <c r="H730" s="303"/>
      <c r="I730" s="298"/>
      <c r="J730" s="298"/>
      <c r="K730" s="299"/>
      <c r="L730" s="304"/>
      <c r="M730" s="300"/>
      <c r="N730" s="301"/>
      <c r="P730" s="193" t="str">
        <f>IF(R730 = "", "", COUNT(R$4:$R730))</f>
        <v/>
      </c>
      <c r="Q730" s="193" t="str">
        <f t="shared" si="111"/>
        <v/>
      </c>
      <c r="R730" s="194" t="str">
        <f t="shared" si="112"/>
        <v/>
      </c>
      <c r="S730" s="195" t="str">
        <f t="shared" si="114"/>
        <v/>
      </c>
      <c r="T730" s="196" t="str">
        <f t="shared" si="115"/>
        <v/>
      </c>
      <c r="U730" s="197" t="str">
        <f t="shared" si="116"/>
        <v/>
      </c>
      <c r="V730" s="198" t="str">
        <f t="shared" si="113"/>
        <v/>
      </c>
      <c r="W730" s="339" t="str">
        <f t="shared" si="117"/>
        <v/>
      </c>
      <c r="X730" s="341" t="str">
        <f t="shared" si="118"/>
        <v/>
      </c>
      <c r="Y730" s="277"/>
      <c r="AR730" t="str">
        <f t="shared" si="119"/>
        <v/>
      </c>
      <c r="AS730" t="str">
        <f t="shared" si="120"/>
        <v/>
      </c>
    </row>
    <row r="731" spans="1:45">
      <c r="A731" s="294"/>
      <c r="B731" s="295"/>
      <c r="C731" s="296"/>
      <c r="D731" s="296"/>
      <c r="E731" s="296"/>
      <c r="F731" s="296"/>
      <c r="G731" s="297"/>
      <c r="H731" s="303"/>
      <c r="I731" s="298"/>
      <c r="J731" s="298"/>
      <c r="K731" s="299"/>
      <c r="L731" s="304"/>
      <c r="M731" s="300"/>
      <c r="N731" s="301"/>
      <c r="P731" s="193" t="str">
        <f>IF(R731 = "", "", COUNT(R$4:$R731))</f>
        <v/>
      </c>
      <c r="Q731" s="193" t="str">
        <f t="shared" si="111"/>
        <v/>
      </c>
      <c r="R731" s="194" t="str">
        <f t="shared" si="112"/>
        <v/>
      </c>
      <c r="S731" s="195" t="str">
        <f t="shared" si="114"/>
        <v/>
      </c>
      <c r="T731" s="196" t="str">
        <f t="shared" si="115"/>
        <v/>
      </c>
      <c r="U731" s="197" t="str">
        <f t="shared" si="116"/>
        <v/>
      </c>
      <c r="V731" s="198" t="str">
        <f t="shared" si="113"/>
        <v/>
      </c>
      <c r="W731" s="339" t="str">
        <f t="shared" si="117"/>
        <v/>
      </c>
      <c r="X731" s="341" t="str">
        <f t="shared" si="118"/>
        <v/>
      </c>
      <c r="Y731" s="277"/>
      <c r="AR731" t="str">
        <f t="shared" si="119"/>
        <v/>
      </c>
      <c r="AS731" t="str">
        <f t="shared" si="120"/>
        <v/>
      </c>
    </row>
    <row r="732" spans="1:45">
      <c r="A732" s="294"/>
      <c r="B732" s="295"/>
      <c r="C732" s="296"/>
      <c r="D732" s="296"/>
      <c r="E732" s="296"/>
      <c r="F732" s="296"/>
      <c r="G732" s="297"/>
      <c r="H732" s="303"/>
      <c r="I732" s="298"/>
      <c r="J732" s="298"/>
      <c r="K732" s="299"/>
      <c r="L732" s="304"/>
      <c r="M732" s="300"/>
      <c r="N732" s="301"/>
      <c r="P732" s="193" t="str">
        <f>IF(R732 = "", "", COUNT(R$4:$R732))</f>
        <v/>
      </c>
      <c r="Q732" s="193" t="str">
        <f t="shared" si="111"/>
        <v/>
      </c>
      <c r="R732" s="194" t="str">
        <f t="shared" si="112"/>
        <v/>
      </c>
      <c r="S732" s="195" t="str">
        <f t="shared" si="114"/>
        <v/>
      </c>
      <c r="T732" s="196" t="str">
        <f t="shared" si="115"/>
        <v/>
      </c>
      <c r="U732" s="197" t="str">
        <f t="shared" si="116"/>
        <v/>
      </c>
      <c r="V732" s="198" t="str">
        <f t="shared" si="113"/>
        <v/>
      </c>
      <c r="W732" s="339" t="str">
        <f t="shared" si="117"/>
        <v/>
      </c>
      <c r="X732" s="341" t="str">
        <f t="shared" si="118"/>
        <v/>
      </c>
      <c r="Y732" s="277"/>
      <c r="AR732" t="str">
        <f t="shared" si="119"/>
        <v/>
      </c>
      <c r="AS732" t="str">
        <f t="shared" si="120"/>
        <v/>
      </c>
    </row>
    <row r="733" spans="1:45">
      <c r="A733" s="294"/>
      <c r="B733" s="295"/>
      <c r="C733" s="296"/>
      <c r="D733" s="296"/>
      <c r="E733" s="296"/>
      <c r="F733" s="296"/>
      <c r="G733" s="297"/>
      <c r="H733" s="303"/>
      <c r="I733" s="298"/>
      <c r="J733" s="298"/>
      <c r="K733" s="299"/>
      <c r="L733" s="304"/>
      <c r="M733" s="300"/>
      <c r="N733" s="301"/>
      <c r="P733" s="193" t="str">
        <f>IF(R733 = "", "", COUNT(R$4:$R733))</f>
        <v/>
      </c>
      <c r="Q733" s="193" t="str">
        <f t="shared" si="111"/>
        <v/>
      </c>
      <c r="R733" s="194" t="str">
        <f t="shared" si="112"/>
        <v/>
      </c>
      <c r="S733" s="195" t="str">
        <f t="shared" si="114"/>
        <v/>
      </c>
      <c r="T733" s="196" t="str">
        <f t="shared" si="115"/>
        <v/>
      </c>
      <c r="U733" s="197" t="str">
        <f t="shared" si="116"/>
        <v/>
      </c>
      <c r="V733" s="198" t="str">
        <f t="shared" si="113"/>
        <v/>
      </c>
      <c r="W733" s="339" t="str">
        <f t="shared" si="117"/>
        <v/>
      </c>
      <c r="X733" s="341" t="str">
        <f t="shared" si="118"/>
        <v/>
      </c>
      <c r="Y733" s="277"/>
      <c r="AR733" t="str">
        <f t="shared" si="119"/>
        <v/>
      </c>
      <c r="AS733" t="str">
        <f t="shared" si="120"/>
        <v/>
      </c>
    </row>
    <row r="734" spans="1:45">
      <c r="A734" s="294"/>
      <c r="B734" s="295"/>
      <c r="C734" s="296"/>
      <c r="D734" s="296"/>
      <c r="E734" s="296"/>
      <c r="F734" s="296"/>
      <c r="G734" s="297"/>
      <c r="H734" s="303"/>
      <c r="I734" s="298"/>
      <c r="J734" s="298"/>
      <c r="K734" s="299"/>
      <c r="L734" s="304"/>
      <c r="M734" s="300"/>
      <c r="N734" s="301"/>
      <c r="P734" s="193" t="str">
        <f>IF(R734 = "", "", COUNT(R$4:$R734))</f>
        <v/>
      </c>
      <c r="Q734" s="193" t="str">
        <f t="shared" si="111"/>
        <v/>
      </c>
      <c r="R734" s="194" t="str">
        <f t="shared" si="112"/>
        <v/>
      </c>
      <c r="S734" s="195" t="str">
        <f t="shared" si="114"/>
        <v/>
      </c>
      <c r="T734" s="196" t="str">
        <f t="shared" si="115"/>
        <v/>
      </c>
      <c r="U734" s="197" t="str">
        <f t="shared" si="116"/>
        <v/>
      </c>
      <c r="V734" s="198" t="str">
        <f t="shared" si="113"/>
        <v/>
      </c>
      <c r="W734" s="339" t="str">
        <f t="shared" si="117"/>
        <v/>
      </c>
      <c r="X734" s="341" t="str">
        <f t="shared" si="118"/>
        <v/>
      </c>
      <c r="Y734" s="277"/>
      <c r="AR734" t="str">
        <f t="shared" si="119"/>
        <v/>
      </c>
      <c r="AS734" t="str">
        <f t="shared" si="120"/>
        <v/>
      </c>
    </row>
    <row r="735" spans="1:45">
      <c r="A735" s="294"/>
      <c r="B735" s="295"/>
      <c r="C735" s="296"/>
      <c r="D735" s="296"/>
      <c r="E735" s="296"/>
      <c r="F735" s="296"/>
      <c r="G735" s="297"/>
      <c r="H735" s="303"/>
      <c r="I735" s="298"/>
      <c r="J735" s="298"/>
      <c r="K735" s="299"/>
      <c r="L735" s="304"/>
      <c r="M735" s="300"/>
      <c r="N735" s="301"/>
      <c r="P735" s="193" t="str">
        <f>IF(R735 = "", "", COUNT(R$4:$R735))</f>
        <v/>
      </c>
      <c r="Q735" s="193" t="str">
        <f t="shared" si="111"/>
        <v/>
      </c>
      <c r="R735" s="194" t="str">
        <f t="shared" si="112"/>
        <v/>
      </c>
      <c r="S735" s="195" t="str">
        <f t="shared" si="114"/>
        <v/>
      </c>
      <c r="T735" s="196" t="str">
        <f t="shared" si="115"/>
        <v/>
      </c>
      <c r="U735" s="197" t="str">
        <f t="shared" si="116"/>
        <v/>
      </c>
      <c r="V735" s="198" t="str">
        <f t="shared" si="113"/>
        <v/>
      </c>
      <c r="W735" s="339" t="str">
        <f t="shared" si="117"/>
        <v/>
      </c>
      <c r="X735" s="341" t="str">
        <f t="shared" si="118"/>
        <v/>
      </c>
      <c r="Y735" s="277"/>
      <c r="AR735" t="str">
        <f t="shared" si="119"/>
        <v/>
      </c>
      <c r="AS735" t="str">
        <f t="shared" si="120"/>
        <v/>
      </c>
    </row>
    <row r="736" spans="1:45">
      <c r="A736" s="294"/>
      <c r="B736" s="295"/>
      <c r="C736" s="296"/>
      <c r="D736" s="296"/>
      <c r="E736" s="296"/>
      <c r="F736" s="296"/>
      <c r="G736" s="297"/>
      <c r="H736" s="303"/>
      <c r="I736" s="298"/>
      <c r="J736" s="298"/>
      <c r="K736" s="299"/>
      <c r="L736" s="304"/>
      <c r="M736" s="300"/>
      <c r="N736" s="301"/>
      <c r="P736" s="193" t="str">
        <f>IF(R736 = "", "", COUNT(R$4:$R736))</f>
        <v/>
      </c>
      <c r="Q736" s="193" t="str">
        <f t="shared" si="111"/>
        <v/>
      </c>
      <c r="R736" s="194" t="str">
        <f t="shared" si="112"/>
        <v/>
      </c>
      <c r="S736" s="195" t="str">
        <f t="shared" si="114"/>
        <v/>
      </c>
      <c r="T736" s="196" t="str">
        <f t="shared" si="115"/>
        <v/>
      </c>
      <c r="U736" s="197" t="str">
        <f t="shared" si="116"/>
        <v/>
      </c>
      <c r="V736" s="198" t="str">
        <f t="shared" si="113"/>
        <v/>
      </c>
      <c r="W736" s="339" t="str">
        <f t="shared" si="117"/>
        <v/>
      </c>
      <c r="X736" s="341" t="str">
        <f t="shared" si="118"/>
        <v/>
      </c>
      <c r="Y736" s="277"/>
      <c r="AR736" t="str">
        <f t="shared" si="119"/>
        <v/>
      </c>
      <c r="AS736" t="str">
        <f t="shared" si="120"/>
        <v/>
      </c>
    </row>
    <row r="737" spans="1:45">
      <c r="A737" s="294"/>
      <c r="B737" s="295"/>
      <c r="C737" s="296"/>
      <c r="D737" s="296"/>
      <c r="E737" s="296"/>
      <c r="F737" s="296"/>
      <c r="G737" s="297"/>
      <c r="H737" s="303"/>
      <c r="I737" s="298"/>
      <c r="J737" s="298"/>
      <c r="K737" s="299"/>
      <c r="L737" s="304"/>
      <c r="M737" s="300"/>
      <c r="N737" s="301"/>
      <c r="P737" s="193" t="str">
        <f>IF(R737 = "", "", COUNT(R$4:$R737))</f>
        <v/>
      </c>
      <c r="Q737" s="193" t="str">
        <f t="shared" si="111"/>
        <v/>
      </c>
      <c r="R737" s="194" t="str">
        <f t="shared" si="112"/>
        <v/>
      </c>
      <c r="S737" s="195" t="str">
        <f t="shared" si="114"/>
        <v/>
      </c>
      <c r="T737" s="196" t="str">
        <f t="shared" si="115"/>
        <v/>
      </c>
      <c r="U737" s="197" t="str">
        <f t="shared" si="116"/>
        <v/>
      </c>
      <c r="V737" s="198" t="str">
        <f t="shared" si="113"/>
        <v/>
      </c>
      <c r="W737" s="339" t="str">
        <f t="shared" si="117"/>
        <v/>
      </c>
      <c r="X737" s="341" t="str">
        <f t="shared" si="118"/>
        <v/>
      </c>
      <c r="Y737" s="277"/>
      <c r="AR737" t="str">
        <f t="shared" si="119"/>
        <v/>
      </c>
      <c r="AS737" t="str">
        <f t="shared" si="120"/>
        <v/>
      </c>
    </row>
    <row r="738" spans="1:45">
      <c r="A738" s="294"/>
      <c r="B738" s="295"/>
      <c r="C738" s="296"/>
      <c r="D738" s="296"/>
      <c r="E738" s="296"/>
      <c r="F738" s="296"/>
      <c r="G738" s="297"/>
      <c r="H738" s="303"/>
      <c r="I738" s="298"/>
      <c r="J738" s="298"/>
      <c r="K738" s="299"/>
      <c r="L738" s="304"/>
      <c r="M738" s="300"/>
      <c r="N738" s="301"/>
      <c r="P738" s="193" t="str">
        <f>IF(R738 = "", "", COUNT(R$4:$R738))</f>
        <v/>
      </c>
      <c r="Q738" s="193" t="str">
        <f t="shared" si="111"/>
        <v/>
      </c>
      <c r="R738" s="194" t="str">
        <f t="shared" si="112"/>
        <v/>
      </c>
      <c r="S738" s="195" t="str">
        <f t="shared" si="114"/>
        <v/>
      </c>
      <c r="T738" s="196" t="str">
        <f t="shared" si="115"/>
        <v/>
      </c>
      <c r="U738" s="197" t="str">
        <f t="shared" si="116"/>
        <v/>
      </c>
      <c r="V738" s="198" t="str">
        <f t="shared" si="113"/>
        <v/>
      </c>
      <c r="W738" s="339" t="str">
        <f t="shared" si="117"/>
        <v/>
      </c>
      <c r="X738" s="341" t="str">
        <f t="shared" si="118"/>
        <v/>
      </c>
      <c r="Y738" s="277"/>
      <c r="AR738" t="str">
        <f t="shared" si="119"/>
        <v/>
      </c>
      <c r="AS738" t="str">
        <f t="shared" si="120"/>
        <v/>
      </c>
    </row>
    <row r="739" spans="1:45">
      <c r="A739" s="294"/>
      <c r="B739" s="295"/>
      <c r="C739" s="296"/>
      <c r="D739" s="296"/>
      <c r="E739" s="296"/>
      <c r="F739" s="296"/>
      <c r="G739" s="297"/>
      <c r="H739" s="303"/>
      <c r="I739" s="298"/>
      <c r="J739" s="298"/>
      <c r="K739" s="299"/>
      <c r="L739" s="304"/>
      <c r="M739" s="300"/>
      <c r="N739" s="301"/>
      <c r="P739" s="193" t="str">
        <f>IF(R739 = "", "", COUNT(R$4:$R739))</f>
        <v/>
      </c>
      <c r="Q739" s="193" t="str">
        <f t="shared" si="111"/>
        <v/>
      </c>
      <c r="R739" s="194" t="str">
        <f t="shared" si="112"/>
        <v/>
      </c>
      <c r="S739" s="195" t="str">
        <f t="shared" si="114"/>
        <v/>
      </c>
      <c r="T739" s="196" t="str">
        <f t="shared" si="115"/>
        <v/>
      </c>
      <c r="U739" s="197" t="str">
        <f t="shared" si="116"/>
        <v/>
      </c>
      <c r="V739" s="198" t="str">
        <f t="shared" si="113"/>
        <v/>
      </c>
      <c r="W739" s="339" t="str">
        <f t="shared" si="117"/>
        <v/>
      </c>
      <c r="X739" s="341" t="str">
        <f t="shared" si="118"/>
        <v/>
      </c>
      <c r="Y739" s="277"/>
      <c r="AR739" t="str">
        <f t="shared" si="119"/>
        <v/>
      </c>
      <c r="AS739" t="str">
        <f t="shared" si="120"/>
        <v/>
      </c>
    </row>
    <row r="740" spans="1:45">
      <c r="A740" s="294"/>
      <c r="B740" s="295"/>
      <c r="C740" s="296"/>
      <c r="D740" s="296"/>
      <c r="E740" s="296"/>
      <c r="F740" s="296"/>
      <c r="G740" s="297"/>
      <c r="H740" s="303"/>
      <c r="I740" s="298"/>
      <c r="J740" s="298"/>
      <c r="K740" s="299"/>
      <c r="L740" s="304"/>
      <c r="M740" s="300"/>
      <c r="N740" s="301"/>
      <c r="P740" s="193" t="str">
        <f>IF(R740 = "", "", COUNT(R$4:$R740))</f>
        <v/>
      </c>
      <c r="Q740" s="193" t="str">
        <f t="shared" si="111"/>
        <v/>
      </c>
      <c r="R740" s="194" t="str">
        <f t="shared" si="112"/>
        <v/>
      </c>
      <c r="S740" s="195" t="str">
        <f t="shared" si="114"/>
        <v/>
      </c>
      <c r="T740" s="196" t="str">
        <f t="shared" si="115"/>
        <v/>
      </c>
      <c r="U740" s="197" t="str">
        <f t="shared" si="116"/>
        <v/>
      </c>
      <c r="V740" s="198" t="str">
        <f t="shared" si="113"/>
        <v/>
      </c>
      <c r="W740" s="339" t="str">
        <f t="shared" si="117"/>
        <v/>
      </c>
      <c r="X740" s="341" t="str">
        <f t="shared" si="118"/>
        <v/>
      </c>
      <c r="Y740" s="277"/>
      <c r="AR740" t="str">
        <f t="shared" si="119"/>
        <v/>
      </c>
      <c r="AS740" t="str">
        <f t="shared" si="120"/>
        <v/>
      </c>
    </row>
    <row r="741" spans="1:45">
      <c r="A741" s="294"/>
      <c r="B741" s="295"/>
      <c r="C741" s="296"/>
      <c r="D741" s="296"/>
      <c r="E741" s="296"/>
      <c r="F741" s="296"/>
      <c r="G741" s="297"/>
      <c r="H741" s="303"/>
      <c r="I741" s="298"/>
      <c r="J741" s="298"/>
      <c r="K741" s="299"/>
      <c r="L741" s="304"/>
      <c r="M741" s="300"/>
      <c r="N741" s="301"/>
      <c r="P741" s="193" t="str">
        <f>IF(R741 = "", "", COUNT(R$4:$R741))</f>
        <v/>
      </c>
      <c r="Q741" s="193" t="str">
        <f t="shared" si="111"/>
        <v/>
      </c>
      <c r="R741" s="194" t="str">
        <f t="shared" si="112"/>
        <v/>
      </c>
      <c r="S741" s="195" t="str">
        <f t="shared" si="114"/>
        <v/>
      </c>
      <c r="T741" s="196" t="str">
        <f t="shared" si="115"/>
        <v/>
      </c>
      <c r="U741" s="197" t="str">
        <f t="shared" si="116"/>
        <v/>
      </c>
      <c r="V741" s="198" t="str">
        <f t="shared" si="113"/>
        <v/>
      </c>
      <c r="W741" s="339" t="str">
        <f t="shared" si="117"/>
        <v/>
      </c>
      <c r="X741" s="341" t="str">
        <f t="shared" si="118"/>
        <v/>
      </c>
      <c r="Y741" s="277"/>
      <c r="AR741" t="str">
        <f t="shared" si="119"/>
        <v/>
      </c>
      <c r="AS741" t="str">
        <f t="shared" si="120"/>
        <v/>
      </c>
    </row>
    <row r="742" spans="1:45">
      <c r="A742" s="294"/>
      <c r="B742" s="295"/>
      <c r="C742" s="296"/>
      <c r="D742" s="296"/>
      <c r="E742" s="296"/>
      <c r="F742" s="296"/>
      <c r="G742" s="297"/>
      <c r="H742" s="303"/>
      <c r="I742" s="298"/>
      <c r="J742" s="298"/>
      <c r="K742" s="299"/>
      <c r="L742" s="304"/>
      <c r="M742" s="300"/>
      <c r="N742" s="301"/>
      <c r="P742" s="193" t="str">
        <f>IF(R742 = "", "", COUNT(R$4:$R742))</f>
        <v/>
      </c>
      <c r="Q742" s="193" t="str">
        <f t="shared" si="111"/>
        <v/>
      </c>
      <c r="R742" s="194" t="str">
        <f t="shared" si="112"/>
        <v/>
      </c>
      <c r="S742" s="195" t="str">
        <f t="shared" si="114"/>
        <v/>
      </c>
      <c r="T742" s="196" t="str">
        <f t="shared" si="115"/>
        <v/>
      </c>
      <c r="U742" s="197" t="str">
        <f t="shared" si="116"/>
        <v/>
      </c>
      <c r="V742" s="198" t="str">
        <f t="shared" si="113"/>
        <v/>
      </c>
      <c r="W742" s="339" t="str">
        <f t="shared" si="117"/>
        <v/>
      </c>
      <c r="X742" s="341" t="str">
        <f t="shared" si="118"/>
        <v/>
      </c>
      <c r="Y742" s="277"/>
      <c r="AR742" t="str">
        <f t="shared" si="119"/>
        <v/>
      </c>
      <c r="AS742" t="str">
        <f t="shared" si="120"/>
        <v/>
      </c>
    </row>
    <row r="743" spans="1:45">
      <c r="A743" s="294"/>
      <c r="B743" s="295"/>
      <c r="C743" s="296"/>
      <c r="D743" s="296"/>
      <c r="E743" s="296"/>
      <c r="F743" s="296"/>
      <c r="G743" s="297"/>
      <c r="H743" s="303"/>
      <c r="I743" s="298"/>
      <c r="J743" s="298"/>
      <c r="K743" s="299"/>
      <c r="L743" s="304"/>
      <c r="M743" s="300"/>
      <c r="N743" s="301"/>
      <c r="P743" s="193" t="str">
        <f>IF(R743 = "", "", COUNT(R$4:$R743))</f>
        <v/>
      </c>
      <c r="Q743" s="193" t="str">
        <f t="shared" si="111"/>
        <v/>
      </c>
      <c r="R743" s="194" t="str">
        <f t="shared" si="112"/>
        <v/>
      </c>
      <c r="S743" s="195" t="str">
        <f t="shared" si="114"/>
        <v/>
      </c>
      <c r="T743" s="196" t="str">
        <f t="shared" si="115"/>
        <v/>
      </c>
      <c r="U743" s="197" t="str">
        <f t="shared" si="116"/>
        <v/>
      </c>
      <c r="V743" s="198" t="str">
        <f t="shared" si="113"/>
        <v/>
      </c>
      <c r="W743" s="339" t="str">
        <f t="shared" si="117"/>
        <v/>
      </c>
      <c r="X743" s="341" t="str">
        <f t="shared" si="118"/>
        <v/>
      </c>
      <c r="Y743" s="277"/>
      <c r="AR743" t="str">
        <f t="shared" si="119"/>
        <v/>
      </c>
      <c r="AS743" t="str">
        <f t="shared" si="120"/>
        <v/>
      </c>
    </row>
    <row r="744" spans="1:45">
      <c r="A744" s="294"/>
      <c r="B744" s="295"/>
      <c r="C744" s="296"/>
      <c r="D744" s="296"/>
      <c r="E744" s="296"/>
      <c r="F744" s="296"/>
      <c r="G744" s="297"/>
      <c r="H744" s="303"/>
      <c r="I744" s="298"/>
      <c r="J744" s="298"/>
      <c r="K744" s="299"/>
      <c r="L744" s="304"/>
      <c r="M744" s="300"/>
      <c r="N744" s="301"/>
      <c r="P744" s="193" t="str">
        <f>IF(R744 = "", "", COUNT(R$4:$R744))</f>
        <v/>
      </c>
      <c r="Q744" s="193" t="str">
        <f t="shared" si="111"/>
        <v/>
      </c>
      <c r="R744" s="194" t="str">
        <f t="shared" si="112"/>
        <v/>
      </c>
      <c r="S744" s="195" t="str">
        <f t="shared" si="114"/>
        <v/>
      </c>
      <c r="T744" s="196" t="str">
        <f t="shared" si="115"/>
        <v/>
      </c>
      <c r="U744" s="197" t="str">
        <f t="shared" si="116"/>
        <v/>
      </c>
      <c r="V744" s="198" t="str">
        <f t="shared" si="113"/>
        <v/>
      </c>
      <c r="W744" s="339" t="str">
        <f t="shared" si="117"/>
        <v/>
      </c>
      <c r="X744" s="341" t="str">
        <f t="shared" si="118"/>
        <v/>
      </c>
      <c r="Y744" s="277"/>
      <c r="AR744" t="str">
        <f t="shared" si="119"/>
        <v/>
      </c>
      <c r="AS744" t="str">
        <f t="shared" si="120"/>
        <v/>
      </c>
    </row>
    <row r="745" spans="1:45">
      <c r="A745" s="294"/>
      <c r="B745" s="295"/>
      <c r="C745" s="296"/>
      <c r="D745" s="296"/>
      <c r="E745" s="296"/>
      <c r="F745" s="296"/>
      <c r="G745" s="297"/>
      <c r="H745" s="303"/>
      <c r="I745" s="298"/>
      <c r="J745" s="298"/>
      <c r="K745" s="299"/>
      <c r="L745" s="304"/>
      <c r="M745" s="300"/>
      <c r="N745" s="301"/>
      <c r="P745" s="193" t="str">
        <f>IF(R745 = "", "", COUNT(R$4:$R745))</f>
        <v/>
      </c>
      <c r="Q745" s="193" t="str">
        <f t="shared" si="111"/>
        <v/>
      </c>
      <c r="R745" s="194" t="str">
        <f t="shared" si="112"/>
        <v/>
      </c>
      <c r="S745" s="195" t="str">
        <f t="shared" si="114"/>
        <v/>
      </c>
      <c r="T745" s="196" t="str">
        <f t="shared" si="115"/>
        <v/>
      </c>
      <c r="U745" s="197" t="str">
        <f t="shared" si="116"/>
        <v/>
      </c>
      <c r="V745" s="198" t="str">
        <f t="shared" si="113"/>
        <v/>
      </c>
      <c r="W745" s="339" t="str">
        <f t="shared" si="117"/>
        <v/>
      </c>
      <c r="X745" s="341" t="str">
        <f t="shared" si="118"/>
        <v/>
      </c>
      <c r="Y745" s="277"/>
      <c r="AR745" t="str">
        <f t="shared" si="119"/>
        <v/>
      </c>
      <c r="AS745" t="str">
        <f t="shared" si="120"/>
        <v/>
      </c>
    </row>
    <row r="746" spans="1:45">
      <c r="A746" s="294"/>
      <c r="B746" s="295"/>
      <c r="C746" s="296"/>
      <c r="D746" s="296"/>
      <c r="E746" s="296"/>
      <c r="F746" s="296"/>
      <c r="G746" s="297"/>
      <c r="H746" s="303"/>
      <c r="I746" s="298"/>
      <c r="J746" s="298"/>
      <c r="K746" s="299"/>
      <c r="L746" s="304"/>
      <c r="M746" s="300"/>
      <c r="N746" s="301"/>
      <c r="P746" s="193" t="str">
        <f>IF(R746 = "", "", COUNT(R$4:$R746))</f>
        <v/>
      </c>
      <c r="Q746" s="193" t="str">
        <f t="shared" si="111"/>
        <v/>
      </c>
      <c r="R746" s="194" t="str">
        <f t="shared" si="112"/>
        <v/>
      </c>
      <c r="S746" s="195" t="str">
        <f t="shared" si="114"/>
        <v/>
      </c>
      <c r="T746" s="196" t="str">
        <f t="shared" si="115"/>
        <v/>
      </c>
      <c r="U746" s="197" t="str">
        <f t="shared" si="116"/>
        <v/>
      </c>
      <c r="V746" s="198" t="str">
        <f t="shared" si="113"/>
        <v/>
      </c>
      <c r="W746" s="339" t="str">
        <f t="shared" si="117"/>
        <v/>
      </c>
      <c r="X746" s="341" t="str">
        <f t="shared" si="118"/>
        <v/>
      </c>
      <c r="Y746" s="277"/>
      <c r="AR746" t="str">
        <f t="shared" si="119"/>
        <v/>
      </c>
      <c r="AS746" t="str">
        <f t="shared" si="120"/>
        <v/>
      </c>
    </row>
    <row r="747" spans="1:45">
      <c r="A747" s="294"/>
      <c r="B747" s="295"/>
      <c r="C747" s="296"/>
      <c r="D747" s="296"/>
      <c r="E747" s="296"/>
      <c r="F747" s="296"/>
      <c r="G747" s="297"/>
      <c r="H747" s="303"/>
      <c r="I747" s="298"/>
      <c r="J747" s="298"/>
      <c r="K747" s="299"/>
      <c r="L747" s="304"/>
      <c r="M747" s="300"/>
      <c r="N747" s="301"/>
      <c r="P747" s="193" t="str">
        <f>IF(R747 = "", "", COUNT(R$4:$R747))</f>
        <v/>
      </c>
      <c r="Q747" s="193" t="str">
        <f t="shared" si="111"/>
        <v/>
      </c>
      <c r="R747" s="194" t="str">
        <f t="shared" si="112"/>
        <v/>
      </c>
      <c r="S747" s="195" t="str">
        <f t="shared" si="114"/>
        <v/>
      </c>
      <c r="T747" s="196" t="str">
        <f t="shared" si="115"/>
        <v/>
      </c>
      <c r="U747" s="197" t="str">
        <f t="shared" si="116"/>
        <v/>
      </c>
      <c r="V747" s="198" t="str">
        <f t="shared" si="113"/>
        <v/>
      </c>
      <c r="W747" s="339" t="str">
        <f t="shared" si="117"/>
        <v/>
      </c>
      <c r="X747" s="341" t="str">
        <f t="shared" si="118"/>
        <v/>
      </c>
      <c r="Y747" s="277"/>
      <c r="AR747" t="str">
        <f t="shared" si="119"/>
        <v/>
      </c>
      <c r="AS747" t="str">
        <f t="shared" si="120"/>
        <v/>
      </c>
    </row>
    <row r="748" spans="1:45">
      <c r="A748" s="294"/>
      <c r="B748" s="295"/>
      <c r="C748" s="296"/>
      <c r="D748" s="296"/>
      <c r="E748" s="296"/>
      <c r="F748" s="296"/>
      <c r="G748" s="297"/>
      <c r="H748" s="303"/>
      <c r="I748" s="298"/>
      <c r="J748" s="298"/>
      <c r="K748" s="299"/>
      <c r="L748" s="304"/>
      <c r="M748" s="300"/>
      <c r="N748" s="301"/>
      <c r="P748" s="193" t="str">
        <f>IF(R748 = "", "", COUNT(R$4:$R748))</f>
        <v/>
      </c>
      <c r="Q748" s="193" t="str">
        <f t="shared" si="111"/>
        <v/>
      </c>
      <c r="R748" s="194" t="str">
        <f t="shared" si="112"/>
        <v/>
      </c>
      <c r="S748" s="195" t="str">
        <f t="shared" si="114"/>
        <v/>
      </c>
      <c r="T748" s="196" t="str">
        <f t="shared" si="115"/>
        <v/>
      </c>
      <c r="U748" s="197" t="str">
        <f t="shared" si="116"/>
        <v/>
      </c>
      <c r="V748" s="198" t="str">
        <f t="shared" si="113"/>
        <v/>
      </c>
      <c r="W748" s="339" t="str">
        <f t="shared" si="117"/>
        <v/>
      </c>
      <c r="X748" s="341" t="str">
        <f t="shared" si="118"/>
        <v/>
      </c>
      <c r="Y748" s="277"/>
      <c r="AR748" t="str">
        <f t="shared" si="119"/>
        <v/>
      </c>
      <c r="AS748" t="str">
        <f t="shared" si="120"/>
        <v/>
      </c>
    </row>
    <row r="749" spans="1:45">
      <c r="A749" s="294"/>
      <c r="B749" s="295"/>
      <c r="C749" s="296"/>
      <c r="D749" s="296"/>
      <c r="E749" s="296"/>
      <c r="F749" s="296"/>
      <c r="G749" s="297"/>
      <c r="H749" s="303"/>
      <c r="I749" s="298"/>
      <c r="J749" s="298"/>
      <c r="K749" s="299"/>
      <c r="L749" s="304"/>
      <c r="M749" s="300"/>
      <c r="N749" s="301"/>
      <c r="P749" s="193" t="str">
        <f>IF(R749 = "", "", COUNT(R$4:$R749))</f>
        <v/>
      </c>
      <c r="Q749" s="193" t="str">
        <f t="shared" si="111"/>
        <v/>
      </c>
      <c r="R749" s="194" t="str">
        <f t="shared" si="112"/>
        <v/>
      </c>
      <c r="S749" s="195" t="str">
        <f t="shared" si="114"/>
        <v/>
      </c>
      <c r="T749" s="196" t="str">
        <f t="shared" si="115"/>
        <v/>
      </c>
      <c r="U749" s="197" t="str">
        <f t="shared" si="116"/>
        <v/>
      </c>
      <c r="V749" s="198" t="str">
        <f t="shared" si="113"/>
        <v/>
      </c>
      <c r="W749" s="339" t="str">
        <f t="shared" si="117"/>
        <v/>
      </c>
      <c r="X749" s="341" t="str">
        <f t="shared" si="118"/>
        <v/>
      </c>
      <c r="Y749" s="277"/>
      <c r="AR749" t="str">
        <f t="shared" si="119"/>
        <v/>
      </c>
      <c r="AS749" t="str">
        <f t="shared" si="120"/>
        <v/>
      </c>
    </row>
    <row r="750" spans="1:45">
      <c r="A750" s="294"/>
      <c r="B750" s="295"/>
      <c r="C750" s="296"/>
      <c r="D750" s="296"/>
      <c r="E750" s="296"/>
      <c r="F750" s="296"/>
      <c r="G750" s="297"/>
      <c r="H750" s="303"/>
      <c r="I750" s="298"/>
      <c r="J750" s="298"/>
      <c r="K750" s="299"/>
      <c r="L750" s="304"/>
      <c r="M750" s="300"/>
      <c r="N750" s="301"/>
      <c r="P750" s="193" t="str">
        <f>IF(R750 = "", "", COUNT(R$4:$R750))</f>
        <v/>
      </c>
      <c r="Q750" s="193" t="str">
        <f t="shared" si="111"/>
        <v/>
      </c>
      <c r="R750" s="194" t="str">
        <f t="shared" si="112"/>
        <v/>
      </c>
      <c r="S750" s="195" t="str">
        <f t="shared" si="114"/>
        <v/>
      </c>
      <c r="T750" s="196" t="str">
        <f t="shared" si="115"/>
        <v/>
      </c>
      <c r="U750" s="197" t="str">
        <f t="shared" si="116"/>
        <v/>
      </c>
      <c r="V750" s="198" t="str">
        <f t="shared" si="113"/>
        <v/>
      </c>
      <c r="W750" s="339" t="str">
        <f t="shared" si="117"/>
        <v/>
      </c>
      <c r="X750" s="341" t="str">
        <f t="shared" si="118"/>
        <v/>
      </c>
      <c r="Y750" s="277"/>
      <c r="AR750" t="str">
        <f t="shared" si="119"/>
        <v/>
      </c>
      <c r="AS750" t="str">
        <f t="shared" si="120"/>
        <v/>
      </c>
    </row>
    <row r="751" spans="1:45">
      <c r="A751" s="294"/>
      <c r="B751" s="295"/>
      <c r="C751" s="296"/>
      <c r="D751" s="296"/>
      <c r="E751" s="296"/>
      <c r="F751" s="296"/>
      <c r="G751" s="297"/>
      <c r="H751" s="303"/>
      <c r="I751" s="298"/>
      <c r="J751" s="298"/>
      <c r="K751" s="299"/>
      <c r="L751" s="304"/>
      <c r="M751" s="300"/>
      <c r="N751" s="301"/>
      <c r="P751" s="193" t="str">
        <f>IF(R751 = "", "", COUNT(R$4:$R751))</f>
        <v/>
      </c>
      <c r="Q751" s="193" t="str">
        <f t="shared" si="111"/>
        <v/>
      </c>
      <c r="R751" s="194" t="str">
        <f t="shared" si="112"/>
        <v/>
      </c>
      <c r="S751" s="195" t="str">
        <f t="shared" si="114"/>
        <v/>
      </c>
      <c r="T751" s="196" t="str">
        <f t="shared" si="115"/>
        <v/>
      </c>
      <c r="U751" s="197" t="str">
        <f t="shared" si="116"/>
        <v/>
      </c>
      <c r="V751" s="198" t="str">
        <f t="shared" si="113"/>
        <v/>
      </c>
      <c r="W751" s="339" t="str">
        <f t="shared" si="117"/>
        <v/>
      </c>
      <c r="X751" s="341" t="str">
        <f t="shared" si="118"/>
        <v/>
      </c>
      <c r="Y751" s="277"/>
      <c r="AR751" t="str">
        <f t="shared" si="119"/>
        <v/>
      </c>
      <c r="AS751" t="str">
        <f t="shared" si="120"/>
        <v/>
      </c>
    </row>
    <row r="752" spans="1:45">
      <c r="A752" s="294"/>
      <c r="B752" s="295"/>
      <c r="C752" s="296"/>
      <c r="D752" s="296"/>
      <c r="E752" s="296"/>
      <c r="F752" s="296"/>
      <c r="G752" s="297"/>
      <c r="H752" s="303"/>
      <c r="I752" s="298"/>
      <c r="J752" s="298"/>
      <c r="K752" s="299"/>
      <c r="L752" s="304"/>
      <c r="M752" s="300"/>
      <c r="N752" s="301"/>
      <c r="P752" s="193" t="str">
        <f>IF(R752 = "", "", COUNT(R$4:$R752))</f>
        <v/>
      </c>
      <c r="Q752" s="193" t="str">
        <f t="shared" si="111"/>
        <v/>
      </c>
      <c r="R752" s="194" t="str">
        <f t="shared" si="112"/>
        <v/>
      </c>
      <c r="S752" s="195" t="str">
        <f t="shared" si="114"/>
        <v/>
      </c>
      <c r="T752" s="196" t="str">
        <f t="shared" si="115"/>
        <v/>
      </c>
      <c r="U752" s="197" t="str">
        <f t="shared" si="116"/>
        <v/>
      </c>
      <c r="V752" s="198" t="str">
        <f t="shared" si="113"/>
        <v/>
      </c>
      <c r="W752" s="339" t="str">
        <f t="shared" si="117"/>
        <v/>
      </c>
      <c r="X752" s="341" t="str">
        <f t="shared" si="118"/>
        <v/>
      </c>
      <c r="Y752" s="277"/>
      <c r="AR752" t="str">
        <f t="shared" si="119"/>
        <v/>
      </c>
      <c r="AS752" t="str">
        <f t="shared" si="120"/>
        <v/>
      </c>
    </row>
    <row r="753" spans="1:45">
      <c r="A753" s="294"/>
      <c r="B753" s="295"/>
      <c r="C753" s="296"/>
      <c r="D753" s="296"/>
      <c r="E753" s="296"/>
      <c r="F753" s="296"/>
      <c r="G753" s="297"/>
      <c r="H753" s="303"/>
      <c r="I753" s="298"/>
      <c r="J753" s="298"/>
      <c r="K753" s="299"/>
      <c r="L753" s="304"/>
      <c r="M753" s="300"/>
      <c r="N753" s="301"/>
      <c r="P753" s="193" t="str">
        <f>IF(R753 = "", "", COUNT(R$4:$R753))</f>
        <v/>
      </c>
      <c r="Q753" s="193" t="str">
        <f t="shared" si="111"/>
        <v/>
      </c>
      <c r="R753" s="194" t="str">
        <f t="shared" si="112"/>
        <v/>
      </c>
      <c r="S753" s="195" t="str">
        <f t="shared" si="114"/>
        <v/>
      </c>
      <c r="T753" s="196" t="str">
        <f t="shared" si="115"/>
        <v/>
      </c>
      <c r="U753" s="197" t="str">
        <f t="shared" si="116"/>
        <v/>
      </c>
      <c r="V753" s="198" t="str">
        <f t="shared" si="113"/>
        <v/>
      </c>
      <c r="W753" s="339" t="str">
        <f t="shared" si="117"/>
        <v/>
      </c>
      <c r="X753" s="341" t="str">
        <f t="shared" si="118"/>
        <v/>
      </c>
      <c r="Y753" s="277"/>
      <c r="AR753" t="str">
        <f t="shared" si="119"/>
        <v/>
      </c>
      <c r="AS753" t="str">
        <f t="shared" si="120"/>
        <v/>
      </c>
    </row>
    <row r="754" spans="1:45">
      <c r="A754" s="294"/>
      <c r="B754" s="295"/>
      <c r="C754" s="296"/>
      <c r="D754" s="296"/>
      <c r="E754" s="296"/>
      <c r="F754" s="296"/>
      <c r="G754" s="297"/>
      <c r="H754" s="303"/>
      <c r="I754" s="298"/>
      <c r="J754" s="298"/>
      <c r="K754" s="299"/>
      <c r="L754" s="304"/>
      <c r="M754" s="300"/>
      <c r="N754" s="301"/>
      <c r="P754" s="193" t="str">
        <f>IF(R754 = "", "", COUNT(R$4:$R754))</f>
        <v/>
      </c>
      <c r="Q754" s="193" t="str">
        <f t="shared" si="111"/>
        <v/>
      </c>
      <c r="R754" s="194" t="str">
        <f t="shared" si="112"/>
        <v/>
      </c>
      <c r="S754" s="195" t="str">
        <f t="shared" si="114"/>
        <v/>
      </c>
      <c r="T754" s="196" t="str">
        <f t="shared" si="115"/>
        <v/>
      </c>
      <c r="U754" s="197" t="str">
        <f t="shared" si="116"/>
        <v/>
      </c>
      <c r="V754" s="198" t="str">
        <f t="shared" si="113"/>
        <v/>
      </c>
      <c r="W754" s="339" t="str">
        <f t="shared" si="117"/>
        <v/>
      </c>
      <c r="X754" s="341" t="str">
        <f t="shared" si="118"/>
        <v/>
      </c>
      <c r="Y754" s="277"/>
      <c r="AR754" t="str">
        <f t="shared" si="119"/>
        <v/>
      </c>
      <c r="AS754" t="str">
        <f t="shared" si="120"/>
        <v/>
      </c>
    </row>
    <row r="755" spans="1:45">
      <c r="A755" s="294"/>
      <c r="B755" s="295"/>
      <c r="C755" s="296"/>
      <c r="D755" s="296"/>
      <c r="E755" s="296"/>
      <c r="F755" s="296"/>
      <c r="G755" s="297"/>
      <c r="H755" s="303"/>
      <c r="I755" s="298"/>
      <c r="J755" s="298"/>
      <c r="K755" s="299"/>
      <c r="L755" s="304"/>
      <c r="M755" s="300"/>
      <c r="N755" s="301"/>
      <c r="P755" s="193" t="str">
        <f>IF(R755 = "", "", COUNT(R$4:$R755))</f>
        <v/>
      </c>
      <c r="Q755" s="193" t="str">
        <f t="shared" si="111"/>
        <v/>
      </c>
      <c r="R755" s="194" t="str">
        <f t="shared" si="112"/>
        <v/>
      </c>
      <c r="S755" s="195" t="str">
        <f t="shared" si="114"/>
        <v/>
      </c>
      <c r="T755" s="196" t="str">
        <f t="shared" si="115"/>
        <v/>
      </c>
      <c r="U755" s="197" t="str">
        <f t="shared" si="116"/>
        <v/>
      </c>
      <c r="V755" s="198" t="str">
        <f t="shared" si="113"/>
        <v/>
      </c>
      <c r="W755" s="339" t="str">
        <f t="shared" si="117"/>
        <v/>
      </c>
      <c r="X755" s="341" t="str">
        <f t="shared" si="118"/>
        <v/>
      </c>
      <c r="Y755" s="277"/>
      <c r="AR755" t="str">
        <f t="shared" si="119"/>
        <v/>
      </c>
      <c r="AS755" t="str">
        <f t="shared" si="120"/>
        <v/>
      </c>
    </row>
    <row r="756" spans="1:45">
      <c r="A756" s="294"/>
      <c r="B756" s="295"/>
      <c r="C756" s="296"/>
      <c r="D756" s="296"/>
      <c r="E756" s="296"/>
      <c r="F756" s="296"/>
      <c r="G756" s="297"/>
      <c r="H756" s="303"/>
      <c r="I756" s="298"/>
      <c r="J756" s="298"/>
      <c r="K756" s="299"/>
      <c r="L756" s="304"/>
      <c r="M756" s="300"/>
      <c r="N756" s="301"/>
      <c r="P756" s="193" t="str">
        <f>IF(R756 = "", "", COUNT(R$4:$R756))</f>
        <v/>
      </c>
      <c r="Q756" s="193" t="str">
        <f t="shared" si="111"/>
        <v/>
      </c>
      <c r="R756" s="194" t="str">
        <f t="shared" si="112"/>
        <v/>
      </c>
      <c r="S756" s="195" t="str">
        <f t="shared" si="114"/>
        <v/>
      </c>
      <c r="T756" s="196" t="str">
        <f t="shared" si="115"/>
        <v/>
      </c>
      <c r="U756" s="197" t="str">
        <f t="shared" si="116"/>
        <v/>
      </c>
      <c r="V756" s="198" t="str">
        <f t="shared" si="113"/>
        <v/>
      </c>
      <c r="W756" s="339" t="str">
        <f t="shared" si="117"/>
        <v/>
      </c>
      <c r="X756" s="341" t="str">
        <f t="shared" si="118"/>
        <v/>
      </c>
      <c r="Y756" s="277"/>
      <c r="AR756" t="str">
        <f t="shared" si="119"/>
        <v/>
      </c>
      <c r="AS756" t="str">
        <f t="shared" si="120"/>
        <v/>
      </c>
    </row>
    <row r="757" spans="1:45">
      <c r="A757" s="294"/>
      <c r="B757" s="295"/>
      <c r="C757" s="296"/>
      <c r="D757" s="296"/>
      <c r="E757" s="296"/>
      <c r="F757" s="296"/>
      <c r="G757" s="297"/>
      <c r="H757" s="303"/>
      <c r="I757" s="298"/>
      <c r="J757" s="298"/>
      <c r="K757" s="299"/>
      <c r="L757" s="304"/>
      <c r="M757" s="300"/>
      <c r="N757" s="301"/>
      <c r="P757" s="193" t="str">
        <f>IF(R757 = "", "", COUNT(R$4:$R757))</f>
        <v/>
      </c>
      <c r="Q757" s="193" t="str">
        <f t="shared" si="111"/>
        <v/>
      </c>
      <c r="R757" s="194" t="str">
        <f t="shared" si="112"/>
        <v/>
      </c>
      <c r="S757" s="195" t="str">
        <f t="shared" si="114"/>
        <v/>
      </c>
      <c r="T757" s="196" t="str">
        <f t="shared" si="115"/>
        <v/>
      </c>
      <c r="U757" s="197" t="str">
        <f t="shared" si="116"/>
        <v/>
      </c>
      <c r="V757" s="198" t="str">
        <f t="shared" si="113"/>
        <v/>
      </c>
      <c r="W757" s="339" t="str">
        <f t="shared" si="117"/>
        <v/>
      </c>
      <c r="X757" s="341" t="str">
        <f t="shared" si="118"/>
        <v/>
      </c>
      <c r="Y757" s="277"/>
      <c r="AR757" t="str">
        <f t="shared" si="119"/>
        <v/>
      </c>
      <c r="AS757" t="str">
        <f t="shared" si="120"/>
        <v/>
      </c>
    </row>
    <row r="758" spans="1:45">
      <c r="A758" s="294"/>
      <c r="B758" s="295"/>
      <c r="C758" s="296"/>
      <c r="D758" s="296"/>
      <c r="E758" s="296"/>
      <c r="F758" s="296"/>
      <c r="G758" s="297"/>
      <c r="H758" s="303"/>
      <c r="I758" s="298"/>
      <c r="J758" s="298"/>
      <c r="K758" s="299"/>
      <c r="L758" s="304"/>
      <c r="M758" s="300"/>
      <c r="N758" s="301"/>
      <c r="P758" s="193" t="str">
        <f>IF(R758 = "", "", COUNT(R$4:$R758))</f>
        <v/>
      </c>
      <c r="Q758" s="193" t="str">
        <f t="shared" si="111"/>
        <v/>
      </c>
      <c r="R758" s="194" t="str">
        <f t="shared" si="112"/>
        <v/>
      </c>
      <c r="S758" s="195" t="str">
        <f t="shared" si="114"/>
        <v/>
      </c>
      <c r="T758" s="196" t="str">
        <f t="shared" si="115"/>
        <v/>
      </c>
      <c r="U758" s="197" t="str">
        <f t="shared" si="116"/>
        <v/>
      </c>
      <c r="V758" s="198" t="str">
        <f t="shared" si="113"/>
        <v/>
      </c>
      <c r="W758" s="339" t="str">
        <f t="shared" si="117"/>
        <v/>
      </c>
      <c r="X758" s="341" t="str">
        <f t="shared" si="118"/>
        <v/>
      </c>
      <c r="Y758" s="277"/>
      <c r="AR758" t="str">
        <f t="shared" si="119"/>
        <v/>
      </c>
      <c r="AS758" t="str">
        <f t="shared" si="120"/>
        <v/>
      </c>
    </row>
    <row r="759" spans="1:45">
      <c r="A759" s="294"/>
      <c r="B759" s="295"/>
      <c r="C759" s="296"/>
      <c r="D759" s="296"/>
      <c r="E759" s="296"/>
      <c r="F759" s="296"/>
      <c r="G759" s="297"/>
      <c r="H759" s="303"/>
      <c r="I759" s="298"/>
      <c r="J759" s="298"/>
      <c r="K759" s="299"/>
      <c r="L759" s="304"/>
      <c r="M759" s="300"/>
      <c r="N759" s="301"/>
      <c r="P759" s="193" t="str">
        <f>IF(R759 = "", "", COUNT(R$4:$R759))</f>
        <v/>
      </c>
      <c r="Q759" s="193" t="str">
        <f t="shared" si="111"/>
        <v/>
      </c>
      <c r="R759" s="194" t="str">
        <f t="shared" si="112"/>
        <v/>
      </c>
      <c r="S759" s="195" t="str">
        <f t="shared" si="114"/>
        <v/>
      </c>
      <c r="T759" s="196" t="str">
        <f t="shared" si="115"/>
        <v/>
      </c>
      <c r="U759" s="197" t="str">
        <f t="shared" si="116"/>
        <v/>
      </c>
      <c r="V759" s="198" t="str">
        <f t="shared" si="113"/>
        <v/>
      </c>
      <c r="W759" s="339" t="str">
        <f t="shared" si="117"/>
        <v/>
      </c>
      <c r="X759" s="341" t="str">
        <f t="shared" si="118"/>
        <v/>
      </c>
      <c r="Y759" s="277"/>
      <c r="AR759" t="str">
        <f t="shared" si="119"/>
        <v/>
      </c>
      <c r="AS759" t="str">
        <f t="shared" si="120"/>
        <v/>
      </c>
    </row>
    <row r="760" spans="1:45">
      <c r="A760" s="294"/>
      <c r="B760" s="295"/>
      <c r="C760" s="296"/>
      <c r="D760" s="296"/>
      <c r="E760" s="296"/>
      <c r="F760" s="296"/>
      <c r="G760" s="297"/>
      <c r="H760" s="303"/>
      <c r="I760" s="298"/>
      <c r="J760" s="298"/>
      <c r="K760" s="299"/>
      <c r="L760" s="304"/>
      <c r="M760" s="300"/>
      <c r="N760" s="301"/>
      <c r="P760" s="193" t="str">
        <f>IF(R760 = "", "", COUNT(R$4:$R760))</f>
        <v/>
      </c>
      <c r="Q760" s="193" t="str">
        <f t="shared" si="111"/>
        <v/>
      </c>
      <c r="R760" s="194" t="str">
        <f t="shared" si="112"/>
        <v/>
      </c>
      <c r="S760" s="195" t="str">
        <f t="shared" si="114"/>
        <v/>
      </c>
      <c r="T760" s="196" t="str">
        <f t="shared" si="115"/>
        <v/>
      </c>
      <c r="U760" s="197" t="str">
        <f t="shared" si="116"/>
        <v/>
      </c>
      <c r="V760" s="198" t="str">
        <f t="shared" si="113"/>
        <v/>
      </c>
      <c r="W760" s="339" t="str">
        <f t="shared" si="117"/>
        <v/>
      </c>
      <c r="X760" s="341" t="str">
        <f t="shared" si="118"/>
        <v/>
      </c>
      <c r="Y760" s="277"/>
      <c r="AR760" t="str">
        <f t="shared" si="119"/>
        <v/>
      </c>
      <c r="AS760" t="str">
        <f t="shared" si="120"/>
        <v/>
      </c>
    </row>
    <row r="761" spans="1:45">
      <c r="A761" s="294"/>
      <c r="B761" s="295"/>
      <c r="C761" s="296"/>
      <c r="D761" s="296"/>
      <c r="E761" s="296"/>
      <c r="F761" s="296"/>
      <c r="G761" s="297"/>
      <c r="H761" s="303"/>
      <c r="I761" s="298"/>
      <c r="J761" s="298"/>
      <c r="K761" s="299"/>
      <c r="L761" s="304"/>
      <c r="M761" s="300"/>
      <c r="N761" s="301"/>
      <c r="P761" s="193" t="str">
        <f>IF(R761 = "", "", COUNT(R$4:$R761))</f>
        <v/>
      </c>
      <c r="Q761" s="193" t="str">
        <f t="shared" si="111"/>
        <v/>
      </c>
      <c r="R761" s="194" t="str">
        <f t="shared" si="112"/>
        <v/>
      </c>
      <c r="S761" s="195" t="str">
        <f t="shared" si="114"/>
        <v/>
      </c>
      <c r="T761" s="196" t="str">
        <f t="shared" si="115"/>
        <v/>
      </c>
      <c r="U761" s="197" t="str">
        <f t="shared" si="116"/>
        <v/>
      </c>
      <c r="V761" s="198" t="str">
        <f t="shared" si="113"/>
        <v/>
      </c>
      <c r="W761" s="339" t="str">
        <f t="shared" si="117"/>
        <v/>
      </c>
      <c r="X761" s="341" t="str">
        <f t="shared" si="118"/>
        <v/>
      </c>
      <c r="Y761" s="277"/>
      <c r="AR761" t="str">
        <f t="shared" si="119"/>
        <v/>
      </c>
      <c r="AS761" t="str">
        <f t="shared" si="120"/>
        <v/>
      </c>
    </row>
    <row r="762" spans="1:45">
      <c r="A762" s="294"/>
      <c r="B762" s="295"/>
      <c r="C762" s="296"/>
      <c r="D762" s="296"/>
      <c r="E762" s="296"/>
      <c r="F762" s="296"/>
      <c r="G762" s="297"/>
      <c r="H762" s="303"/>
      <c r="I762" s="298"/>
      <c r="J762" s="298"/>
      <c r="K762" s="299"/>
      <c r="L762" s="304"/>
      <c r="M762" s="300"/>
      <c r="N762" s="301"/>
      <c r="P762" s="193" t="str">
        <f>IF(R762 = "", "", COUNT(R$4:$R762))</f>
        <v/>
      </c>
      <c r="Q762" s="193" t="str">
        <f t="shared" si="111"/>
        <v/>
      </c>
      <c r="R762" s="194" t="str">
        <f t="shared" si="112"/>
        <v/>
      </c>
      <c r="S762" s="195" t="str">
        <f t="shared" si="114"/>
        <v/>
      </c>
      <c r="T762" s="196" t="str">
        <f t="shared" si="115"/>
        <v/>
      </c>
      <c r="U762" s="197" t="str">
        <f t="shared" si="116"/>
        <v/>
      </c>
      <c r="V762" s="198" t="str">
        <f t="shared" si="113"/>
        <v/>
      </c>
      <c r="W762" s="339" t="str">
        <f t="shared" si="117"/>
        <v/>
      </c>
      <c r="X762" s="341" t="str">
        <f t="shared" si="118"/>
        <v/>
      </c>
      <c r="Y762" s="277"/>
      <c r="AR762" t="str">
        <f t="shared" si="119"/>
        <v/>
      </c>
      <c r="AS762" t="str">
        <f t="shared" si="120"/>
        <v/>
      </c>
    </row>
    <row r="763" spans="1:45">
      <c r="A763" s="294"/>
      <c r="B763" s="295"/>
      <c r="C763" s="296"/>
      <c r="D763" s="296"/>
      <c r="E763" s="296"/>
      <c r="F763" s="296"/>
      <c r="G763" s="297"/>
      <c r="H763" s="303"/>
      <c r="I763" s="298"/>
      <c r="J763" s="298"/>
      <c r="K763" s="299"/>
      <c r="L763" s="304"/>
      <c r="M763" s="300"/>
      <c r="N763" s="301"/>
      <c r="P763" s="193" t="str">
        <f>IF(R763 = "", "", COUNT(R$4:$R763))</f>
        <v/>
      </c>
      <c r="Q763" s="193" t="str">
        <f t="shared" si="111"/>
        <v/>
      </c>
      <c r="R763" s="194" t="str">
        <f t="shared" si="112"/>
        <v/>
      </c>
      <c r="S763" s="195" t="str">
        <f t="shared" si="114"/>
        <v/>
      </c>
      <c r="T763" s="196" t="str">
        <f t="shared" si="115"/>
        <v/>
      </c>
      <c r="U763" s="197" t="str">
        <f t="shared" si="116"/>
        <v/>
      </c>
      <c r="V763" s="198" t="str">
        <f t="shared" si="113"/>
        <v/>
      </c>
      <c r="W763" s="339" t="str">
        <f t="shared" si="117"/>
        <v/>
      </c>
      <c r="X763" s="341" t="str">
        <f t="shared" si="118"/>
        <v/>
      </c>
      <c r="Y763" s="277"/>
      <c r="AR763" t="str">
        <f t="shared" si="119"/>
        <v/>
      </c>
      <c r="AS763" t="str">
        <f t="shared" si="120"/>
        <v/>
      </c>
    </row>
    <row r="764" spans="1:45">
      <c r="A764" s="294"/>
      <c r="B764" s="295"/>
      <c r="C764" s="296"/>
      <c r="D764" s="296"/>
      <c r="E764" s="296"/>
      <c r="F764" s="296"/>
      <c r="G764" s="297"/>
      <c r="H764" s="303"/>
      <c r="I764" s="298"/>
      <c r="J764" s="298"/>
      <c r="K764" s="299"/>
      <c r="L764" s="304"/>
      <c r="M764" s="300"/>
      <c r="N764" s="301"/>
      <c r="P764" s="193" t="str">
        <f>IF(R764 = "", "", COUNT(R$4:$R764))</f>
        <v/>
      </c>
      <c r="Q764" s="193" t="str">
        <f t="shared" si="111"/>
        <v/>
      </c>
      <c r="R764" s="194" t="str">
        <f t="shared" si="112"/>
        <v/>
      </c>
      <c r="S764" s="195" t="str">
        <f t="shared" si="114"/>
        <v/>
      </c>
      <c r="T764" s="196" t="str">
        <f t="shared" si="115"/>
        <v/>
      </c>
      <c r="U764" s="197" t="str">
        <f t="shared" si="116"/>
        <v/>
      </c>
      <c r="V764" s="198" t="str">
        <f t="shared" si="113"/>
        <v/>
      </c>
      <c r="W764" s="339" t="str">
        <f t="shared" si="117"/>
        <v/>
      </c>
      <c r="X764" s="341" t="str">
        <f t="shared" si="118"/>
        <v/>
      </c>
      <c r="Y764" s="277"/>
      <c r="AR764" t="str">
        <f t="shared" si="119"/>
        <v/>
      </c>
      <c r="AS764" t="str">
        <f t="shared" si="120"/>
        <v/>
      </c>
    </row>
    <row r="765" spans="1:45">
      <c r="A765" s="294"/>
      <c r="B765" s="295"/>
      <c r="C765" s="296"/>
      <c r="D765" s="296"/>
      <c r="E765" s="296"/>
      <c r="F765" s="296"/>
      <c r="G765" s="297"/>
      <c r="H765" s="303"/>
      <c r="I765" s="298"/>
      <c r="J765" s="298"/>
      <c r="K765" s="299"/>
      <c r="L765" s="304"/>
      <c r="M765" s="300"/>
      <c r="N765" s="301"/>
      <c r="P765" s="193" t="str">
        <f>IF(R765 = "", "", COUNT(R$4:$R765))</f>
        <v/>
      </c>
      <c r="Q765" s="193" t="str">
        <f t="shared" si="111"/>
        <v/>
      </c>
      <c r="R765" s="194" t="str">
        <f t="shared" si="112"/>
        <v/>
      </c>
      <c r="S765" s="195" t="str">
        <f t="shared" si="114"/>
        <v/>
      </c>
      <c r="T765" s="196" t="str">
        <f t="shared" si="115"/>
        <v/>
      </c>
      <c r="U765" s="197" t="str">
        <f t="shared" si="116"/>
        <v/>
      </c>
      <c r="V765" s="198" t="str">
        <f t="shared" si="113"/>
        <v/>
      </c>
      <c r="W765" s="339" t="str">
        <f t="shared" si="117"/>
        <v/>
      </c>
      <c r="X765" s="341" t="str">
        <f t="shared" si="118"/>
        <v/>
      </c>
      <c r="Y765" s="277"/>
      <c r="AR765" t="str">
        <f t="shared" si="119"/>
        <v/>
      </c>
      <c r="AS765" t="str">
        <f t="shared" si="120"/>
        <v/>
      </c>
    </row>
    <row r="766" spans="1:45">
      <c r="A766" s="294"/>
      <c r="B766" s="295"/>
      <c r="C766" s="296"/>
      <c r="D766" s="296"/>
      <c r="E766" s="296"/>
      <c r="F766" s="296"/>
      <c r="G766" s="297"/>
      <c r="H766" s="303"/>
      <c r="I766" s="298"/>
      <c r="J766" s="298"/>
      <c r="K766" s="299"/>
      <c r="L766" s="304"/>
      <c r="M766" s="300"/>
      <c r="N766" s="301"/>
      <c r="P766" s="193" t="str">
        <f>IF(R766 = "", "", COUNT(R$4:$R766))</f>
        <v/>
      </c>
      <c r="Q766" s="193" t="str">
        <f t="shared" si="111"/>
        <v/>
      </c>
      <c r="R766" s="194" t="str">
        <f t="shared" si="112"/>
        <v/>
      </c>
      <c r="S766" s="195" t="str">
        <f t="shared" si="114"/>
        <v/>
      </c>
      <c r="T766" s="196" t="str">
        <f t="shared" si="115"/>
        <v/>
      </c>
      <c r="U766" s="197" t="str">
        <f t="shared" si="116"/>
        <v/>
      </c>
      <c r="V766" s="198" t="str">
        <f t="shared" si="113"/>
        <v/>
      </c>
      <c r="W766" s="339" t="str">
        <f t="shared" si="117"/>
        <v/>
      </c>
      <c r="X766" s="341" t="str">
        <f t="shared" si="118"/>
        <v/>
      </c>
      <c r="Y766" s="277"/>
      <c r="AR766" t="str">
        <f t="shared" si="119"/>
        <v/>
      </c>
      <c r="AS766" t="str">
        <f t="shared" si="120"/>
        <v/>
      </c>
    </row>
    <row r="767" spans="1:45">
      <c r="A767" s="294"/>
      <c r="B767" s="295"/>
      <c r="C767" s="296"/>
      <c r="D767" s="296"/>
      <c r="E767" s="296"/>
      <c r="F767" s="296"/>
      <c r="G767" s="297"/>
      <c r="H767" s="303"/>
      <c r="I767" s="298"/>
      <c r="J767" s="298"/>
      <c r="K767" s="299"/>
      <c r="L767" s="304"/>
      <c r="M767" s="300"/>
      <c r="N767" s="301"/>
      <c r="P767" s="193" t="str">
        <f>IF(R767 = "", "", COUNT(R$4:$R767))</f>
        <v/>
      </c>
      <c r="Q767" s="193" t="str">
        <f t="shared" si="111"/>
        <v/>
      </c>
      <c r="R767" s="194" t="str">
        <f t="shared" si="112"/>
        <v/>
      </c>
      <c r="S767" s="195" t="str">
        <f t="shared" si="114"/>
        <v/>
      </c>
      <c r="T767" s="196" t="str">
        <f t="shared" si="115"/>
        <v/>
      </c>
      <c r="U767" s="197" t="str">
        <f t="shared" si="116"/>
        <v/>
      </c>
      <c r="V767" s="198" t="str">
        <f t="shared" si="113"/>
        <v/>
      </c>
      <c r="W767" s="339" t="str">
        <f t="shared" si="117"/>
        <v/>
      </c>
      <c r="X767" s="341" t="str">
        <f t="shared" si="118"/>
        <v/>
      </c>
      <c r="Y767" s="277"/>
      <c r="AR767" t="str">
        <f t="shared" si="119"/>
        <v/>
      </c>
      <c r="AS767" t="str">
        <f t="shared" si="120"/>
        <v/>
      </c>
    </row>
    <row r="768" spans="1:45">
      <c r="A768" s="294"/>
      <c r="B768" s="295"/>
      <c r="C768" s="296"/>
      <c r="D768" s="296"/>
      <c r="E768" s="296"/>
      <c r="F768" s="296"/>
      <c r="G768" s="297"/>
      <c r="H768" s="303"/>
      <c r="I768" s="298"/>
      <c r="J768" s="298"/>
      <c r="K768" s="299"/>
      <c r="L768" s="304"/>
      <c r="M768" s="300"/>
      <c r="N768" s="301"/>
      <c r="P768" s="193" t="str">
        <f>IF(R768 = "", "", COUNT(R$4:$R768))</f>
        <v/>
      </c>
      <c r="Q768" s="193" t="str">
        <f t="shared" si="111"/>
        <v/>
      </c>
      <c r="R768" s="194" t="str">
        <f t="shared" si="112"/>
        <v/>
      </c>
      <c r="S768" s="195" t="str">
        <f t="shared" si="114"/>
        <v/>
      </c>
      <c r="T768" s="196" t="str">
        <f t="shared" si="115"/>
        <v/>
      </c>
      <c r="U768" s="197" t="str">
        <f t="shared" si="116"/>
        <v/>
      </c>
      <c r="V768" s="198" t="str">
        <f t="shared" si="113"/>
        <v/>
      </c>
      <c r="W768" s="339" t="str">
        <f t="shared" si="117"/>
        <v/>
      </c>
      <c r="X768" s="341" t="str">
        <f t="shared" si="118"/>
        <v/>
      </c>
      <c r="Y768" s="277"/>
      <c r="AR768" t="str">
        <f t="shared" si="119"/>
        <v/>
      </c>
      <c r="AS768" t="str">
        <f t="shared" si="120"/>
        <v/>
      </c>
    </row>
    <row r="769" spans="1:45">
      <c r="A769" s="294"/>
      <c r="B769" s="295"/>
      <c r="C769" s="296"/>
      <c r="D769" s="296"/>
      <c r="E769" s="296"/>
      <c r="F769" s="296"/>
      <c r="G769" s="297"/>
      <c r="H769" s="303"/>
      <c r="I769" s="298"/>
      <c r="J769" s="298"/>
      <c r="K769" s="299"/>
      <c r="L769" s="304"/>
      <c r="M769" s="300"/>
      <c r="N769" s="301"/>
      <c r="P769" s="193" t="str">
        <f>IF(R769 = "", "", COUNT(R$4:$R769))</f>
        <v/>
      </c>
      <c r="Q769" s="193" t="str">
        <f t="shared" si="111"/>
        <v/>
      </c>
      <c r="R769" s="194" t="str">
        <f t="shared" si="112"/>
        <v/>
      </c>
      <c r="S769" s="195" t="str">
        <f t="shared" si="114"/>
        <v/>
      </c>
      <c r="T769" s="196" t="str">
        <f t="shared" si="115"/>
        <v/>
      </c>
      <c r="U769" s="197" t="str">
        <f t="shared" si="116"/>
        <v/>
      </c>
      <c r="V769" s="198" t="str">
        <f t="shared" si="113"/>
        <v/>
      </c>
      <c r="W769" s="339" t="str">
        <f t="shared" si="117"/>
        <v/>
      </c>
      <c r="X769" s="341" t="str">
        <f t="shared" si="118"/>
        <v/>
      </c>
      <c r="Y769" s="277"/>
      <c r="AR769" t="str">
        <f t="shared" si="119"/>
        <v/>
      </c>
      <c r="AS769" t="str">
        <f t="shared" si="120"/>
        <v/>
      </c>
    </row>
    <row r="770" spans="1:45">
      <c r="A770" s="294"/>
      <c r="B770" s="295"/>
      <c r="C770" s="296"/>
      <c r="D770" s="296"/>
      <c r="E770" s="296"/>
      <c r="F770" s="296"/>
      <c r="G770" s="297"/>
      <c r="H770" s="303"/>
      <c r="I770" s="298"/>
      <c r="J770" s="298"/>
      <c r="K770" s="299"/>
      <c r="L770" s="304"/>
      <c r="M770" s="300"/>
      <c r="N770" s="301"/>
      <c r="P770" s="193" t="str">
        <f>IF(R770 = "", "", COUNT(R$4:$R770))</f>
        <v/>
      </c>
      <c r="Q770" s="193" t="str">
        <f t="shared" si="111"/>
        <v/>
      </c>
      <c r="R770" s="194" t="str">
        <f t="shared" si="112"/>
        <v/>
      </c>
      <c r="S770" s="195" t="str">
        <f t="shared" si="114"/>
        <v/>
      </c>
      <c r="T770" s="196" t="str">
        <f t="shared" si="115"/>
        <v/>
      </c>
      <c r="U770" s="197" t="str">
        <f t="shared" si="116"/>
        <v/>
      </c>
      <c r="V770" s="198" t="str">
        <f t="shared" si="113"/>
        <v/>
      </c>
      <c r="W770" s="339" t="str">
        <f t="shared" si="117"/>
        <v/>
      </c>
      <c r="X770" s="341" t="str">
        <f t="shared" si="118"/>
        <v/>
      </c>
      <c r="Y770" s="277"/>
      <c r="AR770" t="str">
        <f t="shared" si="119"/>
        <v/>
      </c>
      <c r="AS770" t="str">
        <f t="shared" si="120"/>
        <v/>
      </c>
    </row>
    <row r="771" spans="1:45">
      <c r="A771" s="294"/>
      <c r="B771" s="295"/>
      <c r="C771" s="296"/>
      <c r="D771" s="296"/>
      <c r="E771" s="296"/>
      <c r="F771" s="296"/>
      <c r="G771" s="297"/>
      <c r="H771" s="303"/>
      <c r="I771" s="298"/>
      <c r="J771" s="298"/>
      <c r="K771" s="299"/>
      <c r="L771" s="304"/>
      <c r="M771" s="300"/>
      <c r="N771" s="301"/>
      <c r="P771" s="193" t="str">
        <f>IF(R771 = "", "", COUNT(R$4:$R771))</f>
        <v/>
      </c>
      <c r="Q771" s="193" t="str">
        <f t="shared" si="111"/>
        <v/>
      </c>
      <c r="R771" s="194" t="str">
        <f t="shared" si="112"/>
        <v/>
      </c>
      <c r="S771" s="195" t="str">
        <f t="shared" si="114"/>
        <v/>
      </c>
      <c r="T771" s="196" t="str">
        <f t="shared" si="115"/>
        <v/>
      </c>
      <c r="U771" s="197" t="str">
        <f t="shared" si="116"/>
        <v/>
      </c>
      <c r="V771" s="198" t="str">
        <f t="shared" si="113"/>
        <v/>
      </c>
      <c r="W771" s="339" t="str">
        <f t="shared" si="117"/>
        <v/>
      </c>
      <c r="X771" s="341" t="str">
        <f t="shared" si="118"/>
        <v/>
      </c>
      <c r="Y771" s="277"/>
      <c r="AR771" t="str">
        <f t="shared" si="119"/>
        <v/>
      </c>
      <c r="AS771" t="str">
        <f t="shared" si="120"/>
        <v/>
      </c>
    </row>
    <row r="772" spans="1:45">
      <c r="A772" s="294"/>
      <c r="B772" s="295"/>
      <c r="C772" s="296"/>
      <c r="D772" s="296"/>
      <c r="E772" s="296"/>
      <c r="F772" s="296"/>
      <c r="G772" s="297"/>
      <c r="H772" s="303"/>
      <c r="I772" s="298"/>
      <c r="J772" s="298"/>
      <c r="K772" s="299"/>
      <c r="L772" s="304"/>
      <c r="M772" s="300"/>
      <c r="N772" s="301"/>
      <c r="P772" s="193" t="str">
        <f>IF(R772 = "", "", COUNT(R$4:$R772))</f>
        <v/>
      </c>
      <c r="Q772" s="193" t="str">
        <f t="shared" ref="Q772:Q835" si="121">IF(C772 &gt; 0, YEAR(B772), "")</f>
        <v/>
      </c>
      <c r="R772" s="194" t="str">
        <f t="shared" ref="R772:R835" si="122">IF(A772="", "", IF(G772="",1,IF(G772="O",1,IF(G772="C",8.4,IF(G772="B",8.4,IF(G772="A",76.8,IF(G772="K",76.8,"ERR")))))))</f>
        <v/>
      </c>
      <c r="S772" s="195" t="str">
        <f t="shared" si="114"/>
        <v/>
      </c>
      <c r="T772" s="196" t="str">
        <f t="shared" si="115"/>
        <v/>
      </c>
      <c r="U772" s="197" t="str">
        <f t="shared" si="116"/>
        <v/>
      </c>
      <c r="V772" s="198" t="str">
        <f t="shared" ref="V772:V835" si="123">IF(IF(M772&lt;&gt;"",G772,"")=0, "O", IF(M772&lt;&gt;"",G772,""))</f>
        <v/>
      </c>
      <c r="W772" s="339" t="str">
        <f t="shared" si="117"/>
        <v/>
      </c>
      <c r="X772" s="341" t="str">
        <f t="shared" si="118"/>
        <v/>
      </c>
      <c r="Y772" s="277"/>
      <c r="AR772" t="str">
        <f t="shared" si="119"/>
        <v/>
      </c>
      <c r="AS772" t="str">
        <f t="shared" si="120"/>
        <v/>
      </c>
    </row>
    <row r="773" spans="1:45">
      <c r="A773" s="294"/>
      <c r="B773" s="295"/>
      <c r="C773" s="296"/>
      <c r="D773" s="296"/>
      <c r="E773" s="296"/>
      <c r="F773" s="296"/>
      <c r="G773" s="297"/>
      <c r="H773" s="303"/>
      <c r="I773" s="298"/>
      <c r="J773" s="298"/>
      <c r="K773" s="299"/>
      <c r="L773" s="304"/>
      <c r="M773" s="300"/>
      <c r="N773" s="301"/>
      <c r="P773" s="193" t="str">
        <f>IF(R773 = "", "", COUNT(R$4:$R773))</f>
        <v/>
      </c>
      <c r="Q773" s="193" t="str">
        <f t="shared" si="121"/>
        <v/>
      </c>
      <c r="R773" s="194" t="str">
        <f t="shared" si="122"/>
        <v/>
      </c>
      <c r="S773" s="195" t="str">
        <f t="shared" ref="S773:S836" si="124">IF(L773&lt;&gt;"",R773,"")</f>
        <v/>
      </c>
      <c r="T773" s="196" t="str">
        <f t="shared" ref="T773:T836" si="125">IF(IF(L773&lt;&gt;"",G773,"")=0, "O", IF(L773&lt;&gt;"",G773,""))</f>
        <v/>
      </c>
      <c r="U773" s="197" t="str">
        <f t="shared" ref="U773:U836" si="126">IF(M773&lt;&gt;"",R773,"")</f>
        <v/>
      </c>
      <c r="V773" s="198" t="str">
        <f t="shared" si="123"/>
        <v/>
      </c>
      <c r="W773" s="339" t="str">
        <f t="shared" ref="W773:W836" si="127">IF(N773&lt;&gt;"",R773,"")</f>
        <v/>
      </c>
      <c r="X773" s="341" t="str">
        <f t="shared" ref="X773:X836" si="128">IF(IF(N773&lt;&gt;"",G773,"")=0, "O", IF(N773&lt;&gt;"",G773,""))</f>
        <v/>
      </c>
      <c r="Y773" s="277"/>
      <c r="AR773" t="str">
        <f t="shared" ref="AR773:AR836" si="129">IF(P773&gt;0, P773, "")</f>
        <v/>
      </c>
      <c r="AS773" t="str">
        <f t="shared" ref="AS773:AS836" si="130">IF(OR(L773="Y",M773="Y",N773="Y"),"Y","")</f>
        <v/>
      </c>
    </row>
    <row r="774" spans="1:45">
      <c r="A774" s="294"/>
      <c r="B774" s="295"/>
      <c r="C774" s="296"/>
      <c r="D774" s="296"/>
      <c r="E774" s="296"/>
      <c r="F774" s="296"/>
      <c r="G774" s="297"/>
      <c r="H774" s="303"/>
      <c r="I774" s="298"/>
      <c r="J774" s="298"/>
      <c r="K774" s="299"/>
      <c r="L774" s="304"/>
      <c r="M774" s="300"/>
      <c r="N774" s="301"/>
      <c r="P774" s="193" t="str">
        <f>IF(R774 = "", "", COUNT(R$4:$R774))</f>
        <v/>
      </c>
      <c r="Q774" s="193" t="str">
        <f t="shared" si="121"/>
        <v/>
      </c>
      <c r="R774" s="194" t="str">
        <f t="shared" si="122"/>
        <v/>
      </c>
      <c r="S774" s="195" t="str">
        <f t="shared" si="124"/>
        <v/>
      </c>
      <c r="T774" s="196" t="str">
        <f t="shared" si="125"/>
        <v/>
      </c>
      <c r="U774" s="197" t="str">
        <f t="shared" si="126"/>
        <v/>
      </c>
      <c r="V774" s="198" t="str">
        <f t="shared" si="123"/>
        <v/>
      </c>
      <c r="W774" s="339" t="str">
        <f t="shared" si="127"/>
        <v/>
      </c>
      <c r="X774" s="341" t="str">
        <f t="shared" si="128"/>
        <v/>
      </c>
      <c r="Y774" s="277"/>
      <c r="AR774" t="str">
        <f t="shared" si="129"/>
        <v/>
      </c>
      <c r="AS774" t="str">
        <f t="shared" si="130"/>
        <v/>
      </c>
    </row>
    <row r="775" spans="1:45">
      <c r="A775" s="294"/>
      <c r="B775" s="295"/>
      <c r="C775" s="296"/>
      <c r="D775" s="296"/>
      <c r="E775" s="296"/>
      <c r="F775" s="296"/>
      <c r="G775" s="297"/>
      <c r="H775" s="303"/>
      <c r="I775" s="298"/>
      <c r="J775" s="298"/>
      <c r="K775" s="299"/>
      <c r="L775" s="304"/>
      <c r="M775" s="300"/>
      <c r="N775" s="301"/>
      <c r="P775" s="193" t="str">
        <f>IF(R775 = "", "", COUNT(R$4:$R775))</f>
        <v/>
      </c>
      <c r="Q775" s="193" t="str">
        <f t="shared" si="121"/>
        <v/>
      </c>
      <c r="R775" s="194" t="str">
        <f t="shared" si="122"/>
        <v/>
      </c>
      <c r="S775" s="195" t="str">
        <f t="shared" si="124"/>
        <v/>
      </c>
      <c r="T775" s="196" t="str">
        <f t="shared" si="125"/>
        <v/>
      </c>
      <c r="U775" s="197" t="str">
        <f t="shared" si="126"/>
        <v/>
      </c>
      <c r="V775" s="198" t="str">
        <f t="shared" si="123"/>
        <v/>
      </c>
      <c r="W775" s="339" t="str">
        <f t="shared" si="127"/>
        <v/>
      </c>
      <c r="X775" s="341" t="str">
        <f t="shared" si="128"/>
        <v/>
      </c>
      <c r="Y775" s="277"/>
      <c r="AR775" t="str">
        <f t="shared" si="129"/>
        <v/>
      </c>
      <c r="AS775" t="str">
        <f t="shared" si="130"/>
        <v/>
      </c>
    </row>
    <row r="776" spans="1:45">
      <c r="A776" s="294"/>
      <c r="B776" s="295"/>
      <c r="C776" s="296"/>
      <c r="D776" s="296"/>
      <c r="E776" s="296"/>
      <c r="F776" s="296"/>
      <c r="G776" s="297"/>
      <c r="H776" s="303"/>
      <c r="I776" s="298"/>
      <c r="J776" s="298"/>
      <c r="K776" s="299"/>
      <c r="L776" s="304"/>
      <c r="M776" s="300"/>
      <c r="N776" s="301"/>
      <c r="P776" s="193" t="str">
        <f>IF(R776 = "", "", COUNT(R$4:$R776))</f>
        <v/>
      </c>
      <c r="Q776" s="193" t="str">
        <f t="shared" si="121"/>
        <v/>
      </c>
      <c r="R776" s="194" t="str">
        <f t="shared" si="122"/>
        <v/>
      </c>
      <c r="S776" s="195" t="str">
        <f t="shared" si="124"/>
        <v/>
      </c>
      <c r="T776" s="196" t="str">
        <f t="shared" si="125"/>
        <v/>
      </c>
      <c r="U776" s="197" t="str">
        <f t="shared" si="126"/>
        <v/>
      </c>
      <c r="V776" s="198" t="str">
        <f t="shared" si="123"/>
        <v/>
      </c>
      <c r="W776" s="339" t="str">
        <f t="shared" si="127"/>
        <v/>
      </c>
      <c r="X776" s="341" t="str">
        <f t="shared" si="128"/>
        <v/>
      </c>
      <c r="Y776" s="277"/>
      <c r="AR776" t="str">
        <f t="shared" si="129"/>
        <v/>
      </c>
      <c r="AS776" t="str">
        <f t="shared" si="130"/>
        <v/>
      </c>
    </row>
    <row r="777" spans="1:45">
      <c r="A777" s="294"/>
      <c r="B777" s="295"/>
      <c r="C777" s="296"/>
      <c r="D777" s="296"/>
      <c r="E777" s="296"/>
      <c r="F777" s="296"/>
      <c r="G777" s="297"/>
      <c r="H777" s="303"/>
      <c r="I777" s="298"/>
      <c r="J777" s="298"/>
      <c r="K777" s="299"/>
      <c r="L777" s="304"/>
      <c r="M777" s="300"/>
      <c r="N777" s="301"/>
      <c r="P777" s="193" t="str">
        <f>IF(R777 = "", "", COUNT(R$4:$R777))</f>
        <v/>
      </c>
      <c r="Q777" s="193" t="str">
        <f t="shared" si="121"/>
        <v/>
      </c>
      <c r="R777" s="194" t="str">
        <f t="shared" si="122"/>
        <v/>
      </c>
      <c r="S777" s="195" t="str">
        <f t="shared" si="124"/>
        <v/>
      </c>
      <c r="T777" s="196" t="str">
        <f t="shared" si="125"/>
        <v/>
      </c>
      <c r="U777" s="197" t="str">
        <f t="shared" si="126"/>
        <v/>
      </c>
      <c r="V777" s="198" t="str">
        <f t="shared" si="123"/>
        <v/>
      </c>
      <c r="W777" s="339" t="str">
        <f t="shared" si="127"/>
        <v/>
      </c>
      <c r="X777" s="341" t="str">
        <f t="shared" si="128"/>
        <v/>
      </c>
      <c r="Y777" s="277"/>
      <c r="AR777" t="str">
        <f t="shared" si="129"/>
        <v/>
      </c>
      <c r="AS777" t="str">
        <f t="shared" si="130"/>
        <v/>
      </c>
    </row>
    <row r="778" spans="1:45">
      <c r="A778" s="294"/>
      <c r="B778" s="295"/>
      <c r="C778" s="296"/>
      <c r="D778" s="296"/>
      <c r="E778" s="296"/>
      <c r="F778" s="296"/>
      <c r="G778" s="297"/>
      <c r="H778" s="303"/>
      <c r="I778" s="298"/>
      <c r="J778" s="298"/>
      <c r="K778" s="299"/>
      <c r="L778" s="304"/>
      <c r="M778" s="300"/>
      <c r="N778" s="301"/>
      <c r="P778" s="193" t="str">
        <f>IF(R778 = "", "", COUNT(R$4:$R778))</f>
        <v/>
      </c>
      <c r="Q778" s="193" t="str">
        <f t="shared" si="121"/>
        <v/>
      </c>
      <c r="R778" s="194" t="str">
        <f t="shared" si="122"/>
        <v/>
      </c>
      <c r="S778" s="195" t="str">
        <f t="shared" si="124"/>
        <v/>
      </c>
      <c r="T778" s="196" t="str">
        <f t="shared" si="125"/>
        <v/>
      </c>
      <c r="U778" s="197" t="str">
        <f t="shared" si="126"/>
        <v/>
      </c>
      <c r="V778" s="198" t="str">
        <f t="shared" si="123"/>
        <v/>
      </c>
      <c r="W778" s="339" t="str">
        <f t="shared" si="127"/>
        <v/>
      </c>
      <c r="X778" s="341" t="str">
        <f t="shared" si="128"/>
        <v/>
      </c>
      <c r="Y778" s="277"/>
      <c r="AR778" t="str">
        <f t="shared" si="129"/>
        <v/>
      </c>
      <c r="AS778" t="str">
        <f t="shared" si="130"/>
        <v/>
      </c>
    </row>
    <row r="779" spans="1:45">
      <c r="A779" s="294"/>
      <c r="B779" s="295"/>
      <c r="C779" s="296"/>
      <c r="D779" s="296"/>
      <c r="E779" s="296"/>
      <c r="F779" s="296"/>
      <c r="G779" s="297"/>
      <c r="H779" s="303"/>
      <c r="I779" s="298"/>
      <c r="J779" s="298"/>
      <c r="K779" s="299"/>
      <c r="L779" s="304"/>
      <c r="M779" s="300"/>
      <c r="N779" s="301"/>
      <c r="P779" s="193" t="str">
        <f>IF(R779 = "", "", COUNT(R$4:$R779))</f>
        <v/>
      </c>
      <c r="Q779" s="193" t="str">
        <f t="shared" si="121"/>
        <v/>
      </c>
      <c r="R779" s="194" t="str">
        <f t="shared" si="122"/>
        <v/>
      </c>
      <c r="S779" s="195" t="str">
        <f t="shared" si="124"/>
        <v/>
      </c>
      <c r="T779" s="196" t="str">
        <f t="shared" si="125"/>
        <v/>
      </c>
      <c r="U779" s="197" t="str">
        <f t="shared" si="126"/>
        <v/>
      </c>
      <c r="V779" s="198" t="str">
        <f t="shared" si="123"/>
        <v/>
      </c>
      <c r="W779" s="339" t="str">
        <f t="shared" si="127"/>
        <v/>
      </c>
      <c r="X779" s="341" t="str">
        <f t="shared" si="128"/>
        <v/>
      </c>
      <c r="Y779" s="277"/>
      <c r="AR779" t="str">
        <f t="shared" si="129"/>
        <v/>
      </c>
      <c r="AS779" t="str">
        <f t="shared" si="130"/>
        <v/>
      </c>
    </row>
    <row r="780" spans="1:45">
      <c r="A780" s="294"/>
      <c r="B780" s="295"/>
      <c r="C780" s="296"/>
      <c r="D780" s="296"/>
      <c r="E780" s="296"/>
      <c r="F780" s="296"/>
      <c r="G780" s="297"/>
      <c r="H780" s="303"/>
      <c r="I780" s="298"/>
      <c r="J780" s="298"/>
      <c r="K780" s="299"/>
      <c r="L780" s="304"/>
      <c r="M780" s="300"/>
      <c r="N780" s="301"/>
      <c r="P780" s="193" t="str">
        <f>IF(R780 = "", "", COUNT(R$4:$R780))</f>
        <v/>
      </c>
      <c r="Q780" s="193" t="str">
        <f t="shared" si="121"/>
        <v/>
      </c>
      <c r="R780" s="194" t="str">
        <f t="shared" si="122"/>
        <v/>
      </c>
      <c r="S780" s="195" t="str">
        <f t="shared" si="124"/>
        <v/>
      </c>
      <c r="T780" s="196" t="str">
        <f t="shared" si="125"/>
        <v/>
      </c>
      <c r="U780" s="197" t="str">
        <f t="shared" si="126"/>
        <v/>
      </c>
      <c r="V780" s="198" t="str">
        <f t="shared" si="123"/>
        <v/>
      </c>
      <c r="W780" s="339" t="str">
        <f t="shared" si="127"/>
        <v/>
      </c>
      <c r="X780" s="341" t="str">
        <f t="shared" si="128"/>
        <v/>
      </c>
      <c r="Y780" s="277"/>
      <c r="AR780" t="str">
        <f t="shared" si="129"/>
        <v/>
      </c>
      <c r="AS780" t="str">
        <f t="shared" si="130"/>
        <v/>
      </c>
    </row>
    <row r="781" spans="1:45">
      <c r="A781" s="294"/>
      <c r="B781" s="295"/>
      <c r="C781" s="296"/>
      <c r="D781" s="296"/>
      <c r="E781" s="296"/>
      <c r="F781" s="296"/>
      <c r="G781" s="297"/>
      <c r="H781" s="303"/>
      <c r="I781" s="298"/>
      <c r="J781" s="298"/>
      <c r="K781" s="299"/>
      <c r="L781" s="304"/>
      <c r="M781" s="300"/>
      <c r="N781" s="301"/>
      <c r="P781" s="193" t="str">
        <f>IF(R781 = "", "", COUNT(R$4:$R781))</f>
        <v/>
      </c>
      <c r="Q781" s="193" t="str">
        <f t="shared" si="121"/>
        <v/>
      </c>
      <c r="R781" s="194" t="str">
        <f t="shared" si="122"/>
        <v/>
      </c>
      <c r="S781" s="195" t="str">
        <f t="shared" si="124"/>
        <v/>
      </c>
      <c r="T781" s="196" t="str">
        <f t="shared" si="125"/>
        <v/>
      </c>
      <c r="U781" s="197" t="str">
        <f t="shared" si="126"/>
        <v/>
      </c>
      <c r="V781" s="198" t="str">
        <f t="shared" si="123"/>
        <v/>
      </c>
      <c r="W781" s="339" t="str">
        <f t="shared" si="127"/>
        <v/>
      </c>
      <c r="X781" s="341" t="str">
        <f t="shared" si="128"/>
        <v/>
      </c>
      <c r="Y781" s="277"/>
      <c r="AR781" t="str">
        <f t="shared" si="129"/>
        <v/>
      </c>
      <c r="AS781" t="str">
        <f t="shared" si="130"/>
        <v/>
      </c>
    </row>
    <row r="782" spans="1:45">
      <c r="A782" s="294"/>
      <c r="B782" s="295"/>
      <c r="C782" s="296"/>
      <c r="D782" s="296"/>
      <c r="E782" s="296"/>
      <c r="F782" s="296"/>
      <c r="G782" s="297"/>
      <c r="H782" s="303"/>
      <c r="I782" s="298"/>
      <c r="J782" s="298"/>
      <c r="K782" s="299"/>
      <c r="L782" s="304"/>
      <c r="M782" s="300"/>
      <c r="N782" s="301"/>
      <c r="P782" s="193" t="str">
        <f>IF(R782 = "", "", COUNT(R$4:$R782))</f>
        <v/>
      </c>
      <c r="Q782" s="193" t="str">
        <f t="shared" si="121"/>
        <v/>
      </c>
      <c r="R782" s="194" t="str">
        <f t="shared" si="122"/>
        <v/>
      </c>
      <c r="S782" s="195" t="str">
        <f t="shared" si="124"/>
        <v/>
      </c>
      <c r="T782" s="196" t="str">
        <f t="shared" si="125"/>
        <v/>
      </c>
      <c r="U782" s="197" t="str">
        <f t="shared" si="126"/>
        <v/>
      </c>
      <c r="V782" s="198" t="str">
        <f t="shared" si="123"/>
        <v/>
      </c>
      <c r="W782" s="339" t="str">
        <f t="shared" si="127"/>
        <v/>
      </c>
      <c r="X782" s="341" t="str">
        <f t="shared" si="128"/>
        <v/>
      </c>
      <c r="Y782" s="277"/>
      <c r="AR782" t="str">
        <f t="shared" si="129"/>
        <v/>
      </c>
      <c r="AS782" t="str">
        <f t="shared" si="130"/>
        <v/>
      </c>
    </row>
    <row r="783" spans="1:45">
      <c r="A783" s="294"/>
      <c r="B783" s="295"/>
      <c r="C783" s="296"/>
      <c r="D783" s="296"/>
      <c r="E783" s="296"/>
      <c r="F783" s="296"/>
      <c r="G783" s="297"/>
      <c r="H783" s="303"/>
      <c r="I783" s="298"/>
      <c r="J783" s="298"/>
      <c r="K783" s="299"/>
      <c r="L783" s="304"/>
      <c r="M783" s="300"/>
      <c r="N783" s="301"/>
      <c r="P783" s="193" t="str">
        <f>IF(R783 = "", "", COUNT(R$4:$R783))</f>
        <v/>
      </c>
      <c r="Q783" s="193" t="str">
        <f t="shared" si="121"/>
        <v/>
      </c>
      <c r="R783" s="194" t="str">
        <f t="shared" si="122"/>
        <v/>
      </c>
      <c r="S783" s="195" t="str">
        <f t="shared" si="124"/>
        <v/>
      </c>
      <c r="T783" s="196" t="str">
        <f t="shared" si="125"/>
        <v/>
      </c>
      <c r="U783" s="197" t="str">
        <f t="shared" si="126"/>
        <v/>
      </c>
      <c r="V783" s="198" t="str">
        <f t="shared" si="123"/>
        <v/>
      </c>
      <c r="W783" s="339" t="str">
        <f t="shared" si="127"/>
        <v/>
      </c>
      <c r="X783" s="341" t="str">
        <f t="shared" si="128"/>
        <v/>
      </c>
      <c r="Y783" s="277"/>
      <c r="AR783" t="str">
        <f t="shared" si="129"/>
        <v/>
      </c>
      <c r="AS783" t="str">
        <f t="shared" si="130"/>
        <v/>
      </c>
    </row>
    <row r="784" spans="1:45">
      <c r="A784" s="294"/>
      <c r="B784" s="295"/>
      <c r="C784" s="296"/>
      <c r="D784" s="296"/>
      <c r="E784" s="296"/>
      <c r="F784" s="296"/>
      <c r="G784" s="297"/>
      <c r="H784" s="303"/>
      <c r="I784" s="298"/>
      <c r="J784" s="298"/>
      <c r="K784" s="299"/>
      <c r="L784" s="304"/>
      <c r="M784" s="300"/>
      <c r="N784" s="301"/>
      <c r="P784" s="193" t="str">
        <f>IF(R784 = "", "", COUNT(R$4:$R784))</f>
        <v/>
      </c>
      <c r="Q784" s="193" t="str">
        <f t="shared" si="121"/>
        <v/>
      </c>
      <c r="R784" s="194" t="str">
        <f t="shared" si="122"/>
        <v/>
      </c>
      <c r="S784" s="195" t="str">
        <f t="shared" si="124"/>
        <v/>
      </c>
      <c r="T784" s="196" t="str">
        <f t="shared" si="125"/>
        <v/>
      </c>
      <c r="U784" s="197" t="str">
        <f t="shared" si="126"/>
        <v/>
      </c>
      <c r="V784" s="198" t="str">
        <f t="shared" si="123"/>
        <v/>
      </c>
      <c r="W784" s="339" t="str">
        <f t="shared" si="127"/>
        <v/>
      </c>
      <c r="X784" s="341" t="str">
        <f t="shared" si="128"/>
        <v/>
      </c>
      <c r="Y784" s="277"/>
      <c r="AR784" t="str">
        <f t="shared" si="129"/>
        <v/>
      </c>
      <c r="AS784" t="str">
        <f t="shared" si="130"/>
        <v/>
      </c>
    </row>
    <row r="785" spans="1:45">
      <c r="A785" s="294"/>
      <c r="B785" s="295"/>
      <c r="C785" s="296"/>
      <c r="D785" s="296"/>
      <c r="E785" s="296"/>
      <c r="F785" s="296"/>
      <c r="G785" s="297"/>
      <c r="H785" s="303"/>
      <c r="I785" s="298"/>
      <c r="J785" s="298"/>
      <c r="K785" s="299"/>
      <c r="L785" s="304"/>
      <c r="M785" s="300"/>
      <c r="N785" s="301"/>
      <c r="P785" s="193" t="str">
        <f>IF(R785 = "", "", COUNT(R$4:$R785))</f>
        <v/>
      </c>
      <c r="Q785" s="193" t="str">
        <f t="shared" si="121"/>
        <v/>
      </c>
      <c r="R785" s="194" t="str">
        <f t="shared" si="122"/>
        <v/>
      </c>
      <c r="S785" s="195" t="str">
        <f t="shared" si="124"/>
        <v/>
      </c>
      <c r="T785" s="196" t="str">
        <f t="shared" si="125"/>
        <v/>
      </c>
      <c r="U785" s="197" t="str">
        <f t="shared" si="126"/>
        <v/>
      </c>
      <c r="V785" s="198" t="str">
        <f t="shared" si="123"/>
        <v/>
      </c>
      <c r="W785" s="339" t="str">
        <f t="shared" si="127"/>
        <v/>
      </c>
      <c r="X785" s="341" t="str">
        <f t="shared" si="128"/>
        <v/>
      </c>
      <c r="Y785" s="277"/>
      <c r="AR785" t="str">
        <f t="shared" si="129"/>
        <v/>
      </c>
      <c r="AS785" t="str">
        <f t="shared" si="130"/>
        <v/>
      </c>
    </row>
    <row r="786" spans="1:45">
      <c r="A786" s="294"/>
      <c r="B786" s="295"/>
      <c r="C786" s="296"/>
      <c r="D786" s="296"/>
      <c r="E786" s="296"/>
      <c r="F786" s="296"/>
      <c r="G786" s="297"/>
      <c r="H786" s="303"/>
      <c r="I786" s="298"/>
      <c r="J786" s="298"/>
      <c r="K786" s="299"/>
      <c r="L786" s="304"/>
      <c r="M786" s="300"/>
      <c r="N786" s="301"/>
      <c r="P786" s="193" t="str">
        <f>IF(R786 = "", "", COUNT(R$4:$R786))</f>
        <v/>
      </c>
      <c r="Q786" s="193" t="str">
        <f t="shared" si="121"/>
        <v/>
      </c>
      <c r="R786" s="194" t="str">
        <f t="shared" si="122"/>
        <v/>
      </c>
      <c r="S786" s="195" t="str">
        <f t="shared" si="124"/>
        <v/>
      </c>
      <c r="T786" s="196" t="str">
        <f t="shared" si="125"/>
        <v/>
      </c>
      <c r="U786" s="197" t="str">
        <f t="shared" si="126"/>
        <v/>
      </c>
      <c r="V786" s="198" t="str">
        <f t="shared" si="123"/>
        <v/>
      </c>
      <c r="W786" s="339" t="str">
        <f t="shared" si="127"/>
        <v/>
      </c>
      <c r="X786" s="341" t="str">
        <f t="shared" si="128"/>
        <v/>
      </c>
      <c r="Y786" s="277"/>
      <c r="AR786" t="str">
        <f t="shared" si="129"/>
        <v/>
      </c>
      <c r="AS786" t="str">
        <f t="shared" si="130"/>
        <v/>
      </c>
    </row>
    <row r="787" spans="1:45">
      <c r="A787" s="294"/>
      <c r="B787" s="295"/>
      <c r="C787" s="296"/>
      <c r="D787" s="296"/>
      <c r="E787" s="296"/>
      <c r="F787" s="296"/>
      <c r="G787" s="297"/>
      <c r="H787" s="303"/>
      <c r="I787" s="298"/>
      <c r="J787" s="298"/>
      <c r="K787" s="299"/>
      <c r="L787" s="304"/>
      <c r="M787" s="300"/>
      <c r="N787" s="301"/>
      <c r="P787" s="193" t="str">
        <f>IF(R787 = "", "", COUNT(R$4:$R787))</f>
        <v/>
      </c>
      <c r="Q787" s="193" t="str">
        <f t="shared" si="121"/>
        <v/>
      </c>
      <c r="R787" s="194" t="str">
        <f t="shared" si="122"/>
        <v/>
      </c>
      <c r="S787" s="195" t="str">
        <f t="shared" si="124"/>
        <v/>
      </c>
      <c r="T787" s="196" t="str">
        <f t="shared" si="125"/>
        <v/>
      </c>
      <c r="U787" s="197" t="str">
        <f t="shared" si="126"/>
        <v/>
      </c>
      <c r="V787" s="198" t="str">
        <f t="shared" si="123"/>
        <v/>
      </c>
      <c r="W787" s="339" t="str">
        <f t="shared" si="127"/>
        <v/>
      </c>
      <c r="X787" s="341" t="str">
        <f t="shared" si="128"/>
        <v/>
      </c>
      <c r="Y787" s="277"/>
      <c r="AR787" t="str">
        <f t="shared" si="129"/>
        <v/>
      </c>
      <c r="AS787" t="str">
        <f t="shared" si="130"/>
        <v/>
      </c>
    </row>
    <row r="788" spans="1:45">
      <c r="A788" s="294"/>
      <c r="B788" s="295"/>
      <c r="C788" s="296"/>
      <c r="D788" s="296"/>
      <c r="E788" s="296"/>
      <c r="F788" s="296"/>
      <c r="G788" s="297"/>
      <c r="H788" s="303"/>
      <c r="I788" s="298"/>
      <c r="J788" s="298"/>
      <c r="K788" s="299"/>
      <c r="L788" s="304"/>
      <c r="M788" s="300"/>
      <c r="N788" s="301"/>
      <c r="P788" s="193" t="str">
        <f>IF(R788 = "", "", COUNT(R$4:$R788))</f>
        <v/>
      </c>
      <c r="Q788" s="193" t="str">
        <f t="shared" si="121"/>
        <v/>
      </c>
      <c r="R788" s="194" t="str">
        <f t="shared" si="122"/>
        <v/>
      </c>
      <c r="S788" s="195" t="str">
        <f t="shared" si="124"/>
        <v/>
      </c>
      <c r="T788" s="196" t="str">
        <f t="shared" si="125"/>
        <v/>
      </c>
      <c r="U788" s="197" t="str">
        <f t="shared" si="126"/>
        <v/>
      </c>
      <c r="V788" s="198" t="str">
        <f t="shared" si="123"/>
        <v/>
      </c>
      <c r="W788" s="339" t="str">
        <f t="shared" si="127"/>
        <v/>
      </c>
      <c r="X788" s="341" t="str">
        <f t="shared" si="128"/>
        <v/>
      </c>
      <c r="Y788" s="277"/>
      <c r="AR788" t="str">
        <f t="shared" si="129"/>
        <v/>
      </c>
      <c r="AS788" t="str">
        <f t="shared" si="130"/>
        <v/>
      </c>
    </row>
    <row r="789" spans="1:45">
      <c r="A789" s="294"/>
      <c r="B789" s="295"/>
      <c r="C789" s="296"/>
      <c r="D789" s="296"/>
      <c r="E789" s="296"/>
      <c r="F789" s="296"/>
      <c r="G789" s="297"/>
      <c r="H789" s="303"/>
      <c r="I789" s="298"/>
      <c r="J789" s="298"/>
      <c r="K789" s="299"/>
      <c r="L789" s="304"/>
      <c r="M789" s="300"/>
      <c r="N789" s="301"/>
      <c r="P789" s="193" t="str">
        <f>IF(R789 = "", "", COUNT(R$4:$R789))</f>
        <v/>
      </c>
      <c r="Q789" s="193" t="str">
        <f t="shared" si="121"/>
        <v/>
      </c>
      <c r="R789" s="194" t="str">
        <f t="shared" si="122"/>
        <v/>
      </c>
      <c r="S789" s="195" t="str">
        <f t="shared" si="124"/>
        <v/>
      </c>
      <c r="T789" s="196" t="str">
        <f t="shared" si="125"/>
        <v/>
      </c>
      <c r="U789" s="197" t="str">
        <f t="shared" si="126"/>
        <v/>
      </c>
      <c r="V789" s="198" t="str">
        <f t="shared" si="123"/>
        <v/>
      </c>
      <c r="W789" s="339" t="str">
        <f t="shared" si="127"/>
        <v/>
      </c>
      <c r="X789" s="341" t="str">
        <f t="shared" si="128"/>
        <v/>
      </c>
      <c r="Y789" s="277"/>
      <c r="AR789" t="str">
        <f t="shared" si="129"/>
        <v/>
      </c>
      <c r="AS789" t="str">
        <f t="shared" si="130"/>
        <v/>
      </c>
    </row>
    <row r="790" spans="1:45">
      <c r="A790" s="294"/>
      <c r="B790" s="295"/>
      <c r="C790" s="296"/>
      <c r="D790" s="296"/>
      <c r="E790" s="296"/>
      <c r="F790" s="296"/>
      <c r="G790" s="297"/>
      <c r="H790" s="303"/>
      <c r="I790" s="298"/>
      <c r="J790" s="298"/>
      <c r="K790" s="299"/>
      <c r="L790" s="304"/>
      <c r="M790" s="300"/>
      <c r="N790" s="301"/>
      <c r="P790" s="193" t="str">
        <f>IF(R790 = "", "", COUNT(R$4:$R790))</f>
        <v/>
      </c>
      <c r="Q790" s="193" t="str">
        <f t="shared" si="121"/>
        <v/>
      </c>
      <c r="R790" s="194" t="str">
        <f t="shared" si="122"/>
        <v/>
      </c>
      <c r="S790" s="195" t="str">
        <f t="shared" si="124"/>
        <v/>
      </c>
      <c r="T790" s="196" t="str">
        <f t="shared" si="125"/>
        <v/>
      </c>
      <c r="U790" s="197" t="str">
        <f t="shared" si="126"/>
        <v/>
      </c>
      <c r="V790" s="198" t="str">
        <f t="shared" si="123"/>
        <v/>
      </c>
      <c r="W790" s="339" t="str">
        <f t="shared" si="127"/>
        <v/>
      </c>
      <c r="X790" s="341" t="str">
        <f t="shared" si="128"/>
        <v/>
      </c>
      <c r="Y790" s="277"/>
      <c r="AR790" t="str">
        <f t="shared" si="129"/>
        <v/>
      </c>
      <c r="AS790" t="str">
        <f t="shared" si="130"/>
        <v/>
      </c>
    </row>
    <row r="791" spans="1:45">
      <c r="A791" s="294"/>
      <c r="B791" s="295"/>
      <c r="C791" s="296"/>
      <c r="D791" s="296"/>
      <c r="E791" s="296"/>
      <c r="F791" s="296"/>
      <c r="G791" s="297"/>
      <c r="H791" s="303"/>
      <c r="I791" s="298"/>
      <c r="J791" s="298"/>
      <c r="K791" s="299"/>
      <c r="L791" s="304"/>
      <c r="M791" s="300"/>
      <c r="N791" s="301"/>
      <c r="P791" s="193" t="str">
        <f>IF(R791 = "", "", COUNT(R$4:$R791))</f>
        <v/>
      </c>
      <c r="Q791" s="193" t="str">
        <f t="shared" si="121"/>
        <v/>
      </c>
      <c r="R791" s="194" t="str">
        <f t="shared" si="122"/>
        <v/>
      </c>
      <c r="S791" s="195" t="str">
        <f t="shared" si="124"/>
        <v/>
      </c>
      <c r="T791" s="196" t="str">
        <f t="shared" si="125"/>
        <v/>
      </c>
      <c r="U791" s="197" t="str">
        <f t="shared" si="126"/>
        <v/>
      </c>
      <c r="V791" s="198" t="str">
        <f t="shared" si="123"/>
        <v/>
      </c>
      <c r="W791" s="339" t="str">
        <f t="shared" si="127"/>
        <v/>
      </c>
      <c r="X791" s="341" t="str">
        <f t="shared" si="128"/>
        <v/>
      </c>
      <c r="Y791" s="277"/>
      <c r="AR791" t="str">
        <f t="shared" si="129"/>
        <v/>
      </c>
      <c r="AS791" t="str">
        <f t="shared" si="130"/>
        <v/>
      </c>
    </row>
    <row r="792" spans="1:45">
      <c r="A792" s="294"/>
      <c r="B792" s="295"/>
      <c r="C792" s="296"/>
      <c r="D792" s="296"/>
      <c r="E792" s="296"/>
      <c r="F792" s="296"/>
      <c r="G792" s="297"/>
      <c r="H792" s="303"/>
      <c r="I792" s="298"/>
      <c r="J792" s="298"/>
      <c r="K792" s="299"/>
      <c r="L792" s="304"/>
      <c r="M792" s="300"/>
      <c r="N792" s="301"/>
      <c r="P792" s="193" t="str">
        <f>IF(R792 = "", "", COUNT(R$4:$R792))</f>
        <v/>
      </c>
      <c r="Q792" s="193" t="str">
        <f t="shared" si="121"/>
        <v/>
      </c>
      <c r="R792" s="194" t="str">
        <f t="shared" si="122"/>
        <v/>
      </c>
      <c r="S792" s="195" t="str">
        <f t="shared" si="124"/>
        <v/>
      </c>
      <c r="T792" s="196" t="str">
        <f t="shared" si="125"/>
        <v/>
      </c>
      <c r="U792" s="197" t="str">
        <f t="shared" si="126"/>
        <v/>
      </c>
      <c r="V792" s="198" t="str">
        <f t="shared" si="123"/>
        <v/>
      </c>
      <c r="W792" s="339" t="str">
        <f t="shared" si="127"/>
        <v/>
      </c>
      <c r="X792" s="341" t="str">
        <f t="shared" si="128"/>
        <v/>
      </c>
      <c r="Y792" s="277"/>
      <c r="AR792" t="str">
        <f t="shared" si="129"/>
        <v/>
      </c>
      <c r="AS792" t="str">
        <f t="shared" si="130"/>
        <v/>
      </c>
    </row>
    <row r="793" spans="1:45">
      <c r="A793" s="294"/>
      <c r="B793" s="295"/>
      <c r="C793" s="296"/>
      <c r="D793" s="296"/>
      <c r="E793" s="296"/>
      <c r="F793" s="296"/>
      <c r="G793" s="297"/>
      <c r="H793" s="303"/>
      <c r="I793" s="298"/>
      <c r="J793" s="298"/>
      <c r="K793" s="299"/>
      <c r="L793" s="304"/>
      <c r="M793" s="300"/>
      <c r="N793" s="301"/>
      <c r="P793" s="193" t="str">
        <f>IF(R793 = "", "", COUNT(R$4:$R793))</f>
        <v/>
      </c>
      <c r="Q793" s="193" t="str">
        <f t="shared" si="121"/>
        <v/>
      </c>
      <c r="R793" s="194" t="str">
        <f t="shared" si="122"/>
        <v/>
      </c>
      <c r="S793" s="195" t="str">
        <f t="shared" si="124"/>
        <v/>
      </c>
      <c r="T793" s="196" t="str">
        <f t="shared" si="125"/>
        <v/>
      </c>
      <c r="U793" s="197" t="str">
        <f t="shared" si="126"/>
        <v/>
      </c>
      <c r="V793" s="198" t="str">
        <f t="shared" si="123"/>
        <v/>
      </c>
      <c r="W793" s="339" t="str">
        <f t="shared" si="127"/>
        <v/>
      </c>
      <c r="X793" s="341" t="str">
        <f t="shared" si="128"/>
        <v/>
      </c>
      <c r="Y793" s="277"/>
      <c r="AR793" t="str">
        <f t="shared" si="129"/>
        <v/>
      </c>
      <c r="AS793" t="str">
        <f t="shared" si="130"/>
        <v/>
      </c>
    </row>
    <row r="794" spans="1:45">
      <c r="A794" s="294"/>
      <c r="B794" s="295"/>
      <c r="C794" s="296"/>
      <c r="D794" s="296"/>
      <c r="E794" s="296"/>
      <c r="F794" s="296"/>
      <c r="G794" s="297"/>
      <c r="H794" s="303"/>
      <c r="I794" s="298"/>
      <c r="J794" s="298"/>
      <c r="K794" s="299"/>
      <c r="L794" s="304"/>
      <c r="M794" s="300"/>
      <c r="N794" s="301"/>
      <c r="P794" s="193" t="str">
        <f>IF(R794 = "", "", COUNT(R$4:$R794))</f>
        <v/>
      </c>
      <c r="Q794" s="193" t="str">
        <f t="shared" si="121"/>
        <v/>
      </c>
      <c r="R794" s="194" t="str">
        <f t="shared" si="122"/>
        <v/>
      </c>
      <c r="S794" s="195" t="str">
        <f t="shared" si="124"/>
        <v/>
      </c>
      <c r="T794" s="196" t="str">
        <f t="shared" si="125"/>
        <v/>
      </c>
      <c r="U794" s="197" t="str">
        <f t="shared" si="126"/>
        <v/>
      </c>
      <c r="V794" s="198" t="str">
        <f t="shared" si="123"/>
        <v/>
      </c>
      <c r="W794" s="339" t="str">
        <f t="shared" si="127"/>
        <v/>
      </c>
      <c r="X794" s="341" t="str">
        <f t="shared" si="128"/>
        <v/>
      </c>
      <c r="Y794" s="277"/>
      <c r="AR794" t="str">
        <f t="shared" si="129"/>
        <v/>
      </c>
      <c r="AS794" t="str">
        <f t="shared" si="130"/>
        <v/>
      </c>
    </row>
    <row r="795" spans="1:45">
      <c r="A795" s="294"/>
      <c r="B795" s="295"/>
      <c r="C795" s="296"/>
      <c r="D795" s="296"/>
      <c r="E795" s="296"/>
      <c r="F795" s="296"/>
      <c r="G795" s="297"/>
      <c r="H795" s="303"/>
      <c r="I795" s="298"/>
      <c r="J795" s="298"/>
      <c r="K795" s="299"/>
      <c r="L795" s="304"/>
      <c r="M795" s="300"/>
      <c r="N795" s="301"/>
      <c r="P795" s="193" t="str">
        <f>IF(R795 = "", "", COUNT(R$4:$R795))</f>
        <v/>
      </c>
      <c r="Q795" s="193" t="str">
        <f t="shared" si="121"/>
        <v/>
      </c>
      <c r="R795" s="194" t="str">
        <f t="shared" si="122"/>
        <v/>
      </c>
      <c r="S795" s="195" t="str">
        <f t="shared" si="124"/>
        <v/>
      </c>
      <c r="T795" s="196" t="str">
        <f t="shared" si="125"/>
        <v/>
      </c>
      <c r="U795" s="197" t="str">
        <f t="shared" si="126"/>
        <v/>
      </c>
      <c r="V795" s="198" t="str">
        <f t="shared" si="123"/>
        <v/>
      </c>
      <c r="W795" s="339" t="str">
        <f t="shared" si="127"/>
        <v/>
      </c>
      <c r="X795" s="341" t="str">
        <f t="shared" si="128"/>
        <v/>
      </c>
      <c r="Y795" s="277"/>
      <c r="AR795" t="str">
        <f t="shared" si="129"/>
        <v/>
      </c>
      <c r="AS795" t="str">
        <f t="shared" si="130"/>
        <v/>
      </c>
    </row>
    <row r="796" spans="1:45">
      <c r="A796" s="294"/>
      <c r="B796" s="295"/>
      <c r="C796" s="296"/>
      <c r="D796" s="296"/>
      <c r="E796" s="296"/>
      <c r="F796" s="296"/>
      <c r="G796" s="297"/>
      <c r="H796" s="303"/>
      <c r="I796" s="298"/>
      <c r="J796" s="298"/>
      <c r="K796" s="299"/>
      <c r="L796" s="304"/>
      <c r="M796" s="300"/>
      <c r="N796" s="301"/>
      <c r="P796" s="193" t="str">
        <f>IF(R796 = "", "", COUNT(R$4:$R796))</f>
        <v/>
      </c>
      <c r="Q796" s="193" t="str">
        <f t="shared" si="121"/>
        <v/>
      </c>
      <c r="R796" s="194" t="str">
        <f t="shared" si="122"/>
        <v/>
      </c>
      <c r="S796" s="195" t="str">
        <f t="shared" si="124"/>
        <v/>
      </c>
      <c r="T796" s="196" t="str">
        <f t="shared" si="125"/>
        <v/>
      </c>
      <c r="U796" s="197" t="str">
        <f t="shared" si="126"/>
        <v/>
      </c>
      <c r="V796" s="198" t="str">
        <f t="shared" si="123"/>
        <v/>
      </c>
      <c r="W796" s="339" t="str">
        <f t="shared" si="127"/>
        <v/>
      </c>
      <c r="X796" s="341" t="str">
        <f t="shared" si="128"/>
        <v/>
      </c>
      <c r="Y796" s="277"/>
      <c r="AR796" t="str">
        <f t="shared" si="129"/>
        <v/>
      </c>
      <c r="AS796" t="str">
        <f t="shared" si="130"/>
        <v/>
      </c>
    </row>
    <row r="797" spans="1:45">
      <c r="A797" s="294"/>
      <c r="B797" s="295"/>
      <c r="C797" s="296"/>
      <c r="D797" s="296"/>
      <c r="E797" s="296"/>
      <c r="F797" s="296"/>
      <c r="G797" s="297"/>
      <c r="H797" s="303"/>
      <c r="I797" s="298"/>
      <c r="J797" s="298"/>
      <c r="K797" s="299"/>
      <c r="L797" s="304"/>
      <c r="M797" s="300"/>
      <c r="N797" s="301"/>
      <c r="P797" s="193" t="str">
        <f>IF(R797 = "", "", COUNT(R$4:$R797))</f>
        <v/>
      </c>
      <c r="Q797" s="193" t="str">
        <f t="shared" si="121"/>
        <v/>
      </c>
      <c r="R797" s="194" t="str">
        <f t="shared" si="122"/>
        <v/>
      </c>
      <c r="S797" s="195" t="str">
        <f t="shared" si="124"/>
        <v/>
      </c>
      <c r="T797" s="196" t="str">
        <f t="shared" si="125"/>
        <v/>
      </c>
      <c r="U797" s="197" t="str">
        <f t="shared" si="126"/>
        <v/>
      </c>
      <c r="V797" s="198" t="str">
        <f t="shared" si="123"/>
        <v/>
      </c>
      <c r="W797" s="339" t="str">
        <f t="shared" si="127"/>
        <v/>
      </c>
      <c r="X797" s="341" t="str">
        <f t="shared" si="128"/>
        <v/>
      </c>
      <c r="Y797" s="277"/>
      <c r="AR797" t="str">
        <f t="shared" si="129"/>
        <v/>
      </c>
      <c r="AS797" t="str">
        <f t="shared" si="130"/>
        <v/>
      </c>
    </row>
    <row r="798" spans="1:45">
      <c r="A798" s="294"/>
      <c r="B798" s="295"/>
      <c r="C798" s="296"/>
      <c r="D798" s="296"/>
      <c r="E798" s="296"/>
      <c r="F798" s="296"/>
      <c r="G798" s="297"/>
      <c r="H798" s="303"/>
      <c r="I798" s="298"/>
      <c r="J798" s="298"/>
      <c r="K798" s="299"/>
      <c r="L798" s="304"/>
      <c r="M798" s="300"/>
      <c r="N798" s="301"/>
      <c r="P798" s="193" t="str">
        <f>IF(R798 = "", "", COUNT(R$4:$R798))</f>
        <v/>
      </c>
      <c r="Q798" s="193" t="str">
        <f t="shared" si="121"/>
        <v/>
      </c>
      <c r="R798" s="194" t="str">
        <f t="shared" si="122"/>
        <v/>
      </c>
      <c r="S798" s="195" t="str">
        <f t="shared" si="124"/>
        <v/>
      </c>
      <c r="T798" s="196" t="str">
        <f t="shared" si="125"/>
        <v/>
      </c>
      <c r="U798" s="197" t="str">
        <f t="shared" si="126"/>
        <v/>
      </c>
      <c r="V798" s="198" t="str">
        <f t="shared" si="123"/>
        <v/>
      </c>
      <c r="W798" s="339" t="str">
        <f t="shared" si="127"/>
        <v/>
      </c>
      <c r="X798" s="341" t="str">
        <f t="shared" si="128"/>
        <v/>
      </c>
      <c r="Y798" s="277"/>
      <c r="AR798" t="str">
        <f t="shared" si="129"/>
        <v/>
      </c>
      <c r="AS798" t="str">
        <f t="shared" si="130"/>
        <v/>
      </c>
    </row>
    <row r="799" spans="1:45">
      <c r="A799" s="294"/>
      <c r="B799" s="295"/>
      <c r="C799" s="296"/>
      <c r="D799" s="296"/>
      <c r="E799" s="296"/>
      <c r="F799" s="296"/>
      <c r="G799" s="297"/>
      <c r="H799" s="303"/>
      <c r="I799" s="298"/>
      <c r="J799" s="298"/>
      <c r="K799" s="299"/>
      <c r="L799" s="304"/>
      <c r="M799" s="300"/>
      <c r="N799" s="301"/>
      <c r="P799" s="193" t="str">
        <f>IF(R799 = "", "", COUNT(R$4:$R799))</f>
        <v/>
      </c>
      <c r="Q799" s="193" t="str">
        <f t="shared" si="121"/>
        <v/>
      </c>
      <c r="R799" s="194" t="str">
        <f t="shared" si="122"/>
        <v/>
      </c>
      <c r="S799" s="195" t="str">
        <f t="shared" si="124"/>
        <v/>
      </c>
      <c r="T799" s="196" t="str">
        <f t="shared" si="125"/>
        <v/>
      </c>
      <c r="U799" s="197" t="str">
        <f t="shared" si="126"/>
        <v/>
      </c>
      <c r="V799" s="198" t="str">
        <f t="shared" si="123"/>
        <v/>
      </c>
      <c r="W799" s="339" t="str">
        <f t="shared" si="127"/>
        <v/>
      </c>
      <c r="X799" s="341" t="str">
        <f t="shared" si="128"/>
        <v/>
      </c>
      <c r="Y799" s="277"/>
      <c r="AR799" t="str">
        <f t="shared" si="129"/>
        <v/>
      </c>
      <c r="AS799" t="str">
        <f t="shared" si="130"/>
        <v/>
      </c>
    </row>
    <row r="800" spans="1:45">
      <c r="A800" s="294"/>
      <c r="B800" s="295"/>
      <c r="C800" s="296"/>
      <c r="D800" s="296"/>
      <c r="E800" s="296"/>
      <c r="F800" s="296"/>
      <c r="G800" s="297"/>
      <c r="H800" s="303"/>
      <c r="I800" s="298"/>
      <c r="J800" s="298"/>
      <c r="K800" s="299"/>
      <c r="L800" s="304"/>
      <c r="M800" s="300"/>
      <c r="N800" s="301"/>
      <c r="P800" s="193" t="str">
        <f>IF(R800 = "", "", COUNT(R$4:$R800))</f>
        <v/>
      </c>
      <c r="Q800" s="193" t="str">
        <f t="shared" si="121"/>
        <v/>
      </c>
      <c r="R800" s="194" t="str">
        <f t="shared" si="122"/>
        <v/>
      </c>
      <c r="S800" s="195" t="str">
        <f t="shared" si="124"/>
        <v/>
      </c>
      <c r="T800" s="196" t="str">
        <f t="shared" si="125"/>
        <v/>
      </c>
      <c r="U800" s="197" t="str">
        <f t="shared" si="126"/>
        <v/>
      </c>
      <c r="V800" s="198" t="str">
        <f t="shared" si="123"/>
        <v/>
      </c>
      <c r="W800" s="339" t="str">
        <f t="shared" si="127"/>
        <v/>
      </c>
      <c r="X800" s="341" t="str">
        <f t="shared" si="128"/>
        <v/>
      </c>
      <c r="Y800" s="277"/>
      <c r="AR800" t="str">
        <f t="shared" si="129"/>
        <v/>
      </c>
      <c r="AS800" t="str">
        <f t="shared" si="130"/>
        <v/>
      </c>
    </row>
    <row r="801" spans="1:45">
      <c r="A801" s="294"/>
      <c r="B801" s="295"/>
      <c r="C801" s="296"/>
      <c r="D801" s="296"/>
      <c r="E801" s="296"/>
      <c r="F801" s="296"/>
      <c r="G801" s="297"/>
      <c r="H801" s="303"/>
      <c r="I801" s="298"/>
      <c r="J801" s="298"/>
      <c r="K801" s="299"/>
      <c r="L801" s="304"/>
      <c r="M801" s="300"/>
      <c r="N801" s="301"/>
      <c r="P801" s="193" t="str">
        <f>IF(R801 = "", "", COUNT(R$4:$R801))</f>
        <v/>
      </c>
      <c r="Q801" s="193" t="str">
        <f t="shared" si="121"/>
        <v/>
      </c>
      <c r="R801" s="194" t="str">
        <f t="shared" si="122"/>
        <v/>
      </c>
      <c r="S801" s="195" t="str">
        <f t="shared" si="124"/>
        <v/>
      </c>
      <c r="T801" s="196" t="str">
        <f t="shared" si="125"/>
        <v/>
      </c>
      <c r="U801" s="197" t="str">
        <f t="shared" si="126"/>
        <v/>
      </c>
      <c r="V801" s="198" t="str">
        <f t="shared" si="123"/>
        <v/>
      </c>
      <c r="W801" s="339" t="str">
        <f t="shared" si="127"/>
        <v/>
      </c>
      <c r="X801" s="341" t="str">
        <f t="shared" si="128"/>
        <v/>
      </c>
      <c r="Y801" s="277"/>
      <c r="AR801" t="str">
        <f t="shared" si="129"/>
        <v/>
      </c>
      <c r="AS801" t="str">
        <f t="shared" si="130"/>
        <v/>
      </c>
    </row>
    <row r="802" spans="1:45">
      <c r="A802" s="294"/>
      <c r="B802" s="295"/>
      <c r="C802" s="296"/>
      <c r="D802" s="296"/>
      <c r="E802" s="296"/>
      <c r="F802" s="296"/>
      <c r="G802" s="297"/>
      <c r="H802" s="303"/>
      <c r="I802" s="298"/>
      <c r="J802" s="298"/>
      <c r="K802" s="299"/>
      <c r="L802" s="304"/>
      <c r="M802" s="300"/>
      <c r="N802" s="301"/>
      <c r="P802" s="193" t="str">
        <f>IF(R802 = "", "", COUNT(R$4:$R802))</f>
        <v/>
      </c>
      <c r="Q802" s="193" t="str">
        <f t="shared" si="121"/>
        <v/>
      </c>
      <c r="R802" s="194" t="str">
        <f t="shared" si="122"/>
        <v/>
      </c>
      <c r="S802" s="195" t="str">
        <f t="shared" si="124"/>
        <v/>
      </c>
      <c r="T802" s="196" t="str">
        <f t="shared" si="125"/>
        <v/>
      </c>
      <c r="U802" s="197" t="str">
        <f t="shared" si="126"/>
        <v/>
      </c>
      <c r="V802" s="198" t="str">
        <f t="shared" si="123"/>
        <v/>
      </c>
      <c r="W802" s="339" t="str">
        <f t="shared" si="127"/>
        <v/>
      </c>
      <c r="X802" s="341" t="str">
        <f t="shared" si="128"/>
        <v/>
      </c>
      <c r="Y802" s="277"/>
      <c r="AR802" t="str">
        <f t="shared" si="129"/>
        <v/>
      </c>
      <c r="AS802" t="str">
        <f t="shared" si="130"/>
        <v/>
      </c>
    </row>
    <row r="803" spans="1:45">
      <c r="A803" s="294"/>
      <c r="B803" s="295"/>
      <c r="C803" s="296"/>
      <c r="D803" s="296"/>
      <c r="E803" s="296"/>
      <c r="F803" s="296"/>
      <c r="G803" s="297"/>
      <c r="H803" s="303"/>
      <c r="I803" s="298"/>
      <c r="J803" s="298"/>
      <c r="K803" s="299"/>
      <c r="L803" s="304"/>
      <c r="M803" s="300"/>
      <c r="N803" s="301"/>
      <c r="P803" s="193" t="str">
        <f>IF(R803 = "", "", COUNT(R$4:$R803))</f>
        <v/>
      </c>
      <c r="Q803" s="193" t="str">
        <f t="shared" si="121"/>
        <v/>
      </c>
      <c r="R803" s="194" t="str">
        <f t="shared" si="122"/>
        <v/>
      </c>
      <c r="S803" s="195" t="str">
        <f t="shared" si="124"/>
        <v/>
      </c>
      <c r="T803" s="196" t="str">
        <f t="shared" si="125"/>
        <v/>
      </c>
      <c r="U803" s="197" t="str">
        <f t="shared" si="126"/>
        <v/>
      </c>
      <c r="V803" s="198" t="str">
        <f t="shared" si="123"/>
        <v/>
      </c>
      <c r="W803" s="339" t="str">
        <f t="shared" si="127"/>
        <v/>
      </c>
      <c r="X803" s="341" t="str">
        <f t="shared" si="128"/>
        <v/>
      </c>
      <c r="Y803" s="277"/>
      <c r="AR803" t="str">
        <f t="shared" si="129"/>
        <v/>
      </c>
      <c r="AS803" t="str">
        <f t="shared" si="130"/>
        <v/>
      </c>
    </row>
    <row r="804" spans="1:45">
      <c r="A804" s="294"/>
      <c r="B804" s="295"/>
      <c r="C804" s="296"/>
      <c r="D804" s="296"/>
      <c r="E804" s="296"/>
      <c r="F804" s="296"/>
      <c r="G804" s="297"/>
      <c r="H804" s="303"/>
      <c r="I804" s="298"/>
      <c r="J804" s="298"/>
      <c r="K804" s="299"/>
      <c r="L804" s="304"/>
      <c r="M804" s="300"/>
      <c r="N804" s="301"/>
      <c r="P804" s="193" t="str">
        <f>IF(R804 = "", "", COUNT(R$4:$R804))</f>
        <v/>
      </c>
      <c r="Q804" s="193" t="str">
        <f t="shared" si="121"/>
        <v/>
      </c>
      <c r="R804" s="194" t="str">
        <f t="shared" si="122"/>
        <v/>
      </c>
      <c r="S804" s="195" t="str">
        <f t="shared" si="124"/>
        <v/>
      </c>
      <c r="T804" s="196" t="str">
        <f t="shared" si="125"/>
        <v/>
      </c>
      <c r="U804" s="197" t="str">
        <f t="shared" si="126"/>
        <v/>
      </c>
      <c r="V804" s="198" t="str">
        <f t="shared" si="123"/>
        <v/>
      </c>
      <c r="W804" s="339" t="str">
        <f t="shared" si="127"/>
        <v/>
      </c>
      <c r="X804" s="341" t="str">
        <f t="shared" si="128"/>
        <v/>
      </c>
      <c r="Y804" s="277"/>
      <c r="AR804" t="str">
        <f t="shared" si="129"/>
        <v/>
      </c>
      <c r="AS804" t="str">
        <f t="shared" si="130"/>
        <v/>
      </c>
    </row>
    <row r="805" spans="1:45">
      <c r="A805" s="294"/>
      <c r="B805" s="295"/>
      <c r="C805" s="296"/>
      <c r="D805" s="296"/>
      <c r="E805" s="296"/>
      <c r="F805" s="296"/>
      <c r="G805" s="297"/>
      <c r="H805" s="303"/>
      <c r="I805" s="298"/>
      <c r="J805" s="298"/>
      <c r="K805" s="299"/>
      <c r="L805" s="304"/>
      <c r="M805" s="300"/>
      <c r="N805" s="301"/>
      <c r="P805" s="193" t="str">
        <f>IF(R805 = "", "", COUNT(R$4:$R805))</f>
        <v/>
      </c>
      <c r="Q805" s="193" t="str">
        <f t="shared" si="121"/>
        <v/>
      </c>
      <c r="R805" s="194" t="str">
        <f t="shared" si="122"/>
        <v/>
      </c>
      <c r="S805" s="195" t="str">
        <f t="shared" si="124"/>
        <v/>
      </c>
      <c r="T805" s="196" t="str">
        <f t="shared" si="125"/>
        <v/>
      </c>
      <c r="U805" s="197" t="str">
        <f t="shared" si="126"/>
        <v/>
      </c>
      <c r="V805" s="198" t="str">
        <f t="shared" si="123"/>
        <v/>
      </c>
      <c r="W805" s="339" t="str">
        <f t="shared" si="127"/>
        <v/>
      </c>
      <c r="X805" s="341" t="str">
        <f t="shared" si="128"/>
        <v/>
      </c>
      <c r="Y805" s="277"/>
      <c r="AR805" t="str">
        <f t="shared" si="129"/>
        <v/>
      </c>
      <c r="AS805" t="str">
        <f t="shared" si="130"/>
        <v/>
      </c>
    </row>
    <row r="806" spans="1:45">
      <c r="A806" s="294"/>
      <c r="B806" s="295"/>
      <c r="C806" s="296"/>
      <c r="D806" s="296"/>
      <c r="E806" s="296"/>
      <c r="F806" s="296"/>
      <c r="G806" s="297"/>
      <c r="H806" s="303"/>
      <c r="I806" s="298"/>
      <c r="J806" s="298"/>
      <c r="K806" s="299"/>
      <c r="L806" s="304"/>
      <c r="M806" s="300"/>
      <c r="N806" s="301"/>
      <c r="P806" s="193" t="str">
        <f>IF(R806 = "", "", COUNT(R$4:$R806))</f>
        <v/>
      </c>
      <c r="Q806" s="193" t="str">
        <f t="shared" si="121"/>
        <v/>
      </c>
      <c r="R806" s="194" t="str">
        <f t="shared" si="122"/>
        <v/>
      </c>
      <c r="S806" s="195" t="str">
        <f t="shared" si="124"/>
        <v/>
      </c>
      <c r="T806" s="196" t="str">
        <f t="shared" si="125"/>
        <v/>
      </c>
      <c r="U806" s="197" t="str">
        <f t="shared" si="126"/>
        <v/>
      </c>
      <c r="V806" s="198" t="str">
        <f t="shared" si="123"/>
        <v/>
      </c>
      <c r="W806" s="339" t="str">
        <f t="shared" si="127"/>
        <v/>
      </c>
      <c r="X806" s="341" t="str">
        <f t="shared" si="128"/>
        <v/>
      </c>
      <c r="Y806" s="277"/>
      <c r="AR806" t="str">
        <f t="shared" si="129"/>
        <v/>
      </c>
      <c r="AS806" t="str">
        <f t="shared" si="130"/>
        <v/>
      </c>
    </row>
    <row r="807" spans="1:45">
      <c r="A807" s="294"/>
      <c r="B807" s="295"/>
      <c r="C807" s="296"/>
      <c r="D807" s="296"/>
      <c r="E807" s="296"/>
      <c r="F807" s="296"/>
      <c r="G807" s="297"/>
      <c r="H807" s="303"/>
      <c r="I807" s="298"/>
      <c r="J807" s="298"/>
      <c r="K807" s="299"/>
      <c r="L807" s="304"/>
      <c r="M807" s="300"/>
      <c r="N807" s="301"/>
      <c r="P807" s="193" t="str">
        <f>IF(R807 = "", "", COUNT(R$4:$R807))</f>
        <v/>
      </c>
      <c r="Q807" s="193" t="str">
        <f t="shared" si="121"/>
        <v/>
      </c>
      <c r="R807" s="194" t="str">
        <f t="shared" si="122"/>
        <v/>
      </c>
      <c r="S807" s="195" t="str">
        <f t="shared" si="124"/>
        <v/>
      </c>
      <c r="T807" s="196" t="str">
        <f t="shared" si="125"/>
        <v/>
      </c>
      <c r="U807" s="197" t="str">
        <f t="shared" si="126"/>
        <v/>
      </c>
      <c r="V807" s="198" t="str">
        <f t="shared" si="123"/>
        <v/>
      </c>
      <c r="W807" s="339" t="str">
        <f t="shared" si="127"/>
        <v/>
      </c>
      <c r="X807" s="341" t="str">
        <f t="shared" si="128"/>
        <v/>
      </c>
      <c r="Y807" s="277"/>
      <c r="AR807" t="str">
        <f t="shared" si="129"/>
        <v/>
      </c>
      <c r="AS807" t="str">
        <f t="shared" si="130"/>
        <v/>
      </c>
    </row>
    <row r="808" spans="1:45">
      <c r="A808" s="294"/>
      <c r="B808" s="295"/>
      <c r="C808" s="296"/>
      <c r="D808" s="296"/>
      <c r="E808" s="296"/>
      <c r="F808" s="296"/>
      <c r="G808" s="297"/>
      <c r="H808" s="303"/>
      <c r="I808" s="298"/>
      <c r="J808" s="298"/>
      <c r="K808" s="299"/>
      <c r="L808" s="304"/>
      <c r="M808" s="300"/>
      <c r="N808" s="301"/>
      <c r="P808" s="193" t="str">
        <f>IF(R808 = "", "", COUNT(R$4:$R808))</f>
        <v/>
      </c>
      <c r="Q808" s="193" t="str">
        <f t="shared" si="121"/>
        <v/>
      </c>
      <c r="R808" s="194" t="str">
        <f t="shared" si="122"/>
        <v/>
      </c>
      <c r="S808" s="195" t="str">
        <f t="shared" si="124"/>
        <v/>
      </c>
      <c r="T808" s="196" t="str">
        <f t="shared" si="125"/>
        <v/>
      </c>
      <c r="U808" s="197" t="str">
        <f t="shared" si="126"/>
        <v/>
      </c>
      <c r="V808" s="198" t="str">
        <f t="shared" si="123"/>
        <v/>
      </c>
      <c r="W808" s="339" t="str">
        <f t="shared" si="127"/>
        <v/>
      </c>
      <c r="X808" s="341" t="str">
        <f t="shared" si="128"/>
        <v/>
      </c>
      <c r="Y808" s="277"/>
      <c r="AR808" t="str">
        <f t="shared" si="129"/>
        <v/>
      </c>
      <c r="AS808" t="str">
        <f t="shared" si="130"/>
        <v/>
      </c>
    </row>
    <row r="809" spans="1:45">
      <c r="A809" s="294"/>
      <c r="B809" s="295"/>
      <c r="C809" s="296"/>
      <c r="D809" s="296"/>
      <c r="E809" s="296"/>
      <c r="F809" s="296"/>
      <c r="G809" s="297"/>
      <c r="H809" s="303"/>
      <c r="I809" s="298"/>
      <c r="J809" s="298"/>
      <c r="K809" s="299"/>
      <c r="L809" s="304"/>
      <c r="M809" s="300"/>
      <c r="N809" s="301"/>
      <c r="P809" s="193" t="str">
        <f>IF(R809 = "", "", COUNT(R$4:$R809))</f>
        <v/>
      </c>
      <c r="Q809" s="193" t="str">
        <f t="shared" si="121"/>
        <v/>
      </c>
      <c r="R809" s="194" t="str">
        <f t="shared" si="122"/>
        <v/>
      </c>
      <c r="S809" s="195" t="str">
        <f t="shared" si="124"/>
        <v/>
      </c>
      <c r="T809" s="196" t="str">
        <f t="shared" si="125"/>
        <v/>
      </c>
      <c r="U809" s="197" t="str">
        <f t="shared" si="126"/>
        <v/>
      </c>
      <c r="V809" s="198" t="str">
        <f t="shared" si="123"/>
        <v/>
      </c>
      <c r="W809" s="339" t="str">
        <f t="shared" si="127"/>
        <v/>
      </c>
      <c r="X809" s="341" t="str">
        <f t="shared" si="128"/>
        <v/>
      </c>
      <c r="Y809" s="277"/>
      <c r="AR809" t="str">
        <f t="shared" si="129"/>
        <v/>
      </c>
      <c r="AS809" t="str">
        <f t="shared" si="130"/>
        <v/>
      </c>
    </row>
    <row r="810" spans="1:45">
      <c r="A810" s="294"/>
      <c r="B810" s="295"/>
      <c r="C810" s="296"/>
      <c r="D810" s="296"/>
      <c r="E810" s="296"/>
      <c r="F810" s="296"/>
      <c r="G810" s="297"/>
      <c r="H810" s="303"/>
      <c r="I810" s="298"/>
      <c r="J810" s="298"/>
      <c r="K810" s="299"/>
      <c r="L810" s="304"/>
      <c r="M810" s="300"/>
      <c r="N810" s="301"/>
      <c r="P810" s="193" t="str">
        <f>IF(R810 = "", "", COUNT(R$4:$R810))</f>
        <v/>
      </c>
      <c r="Q810" s="193" t="str">
        <f t="shared" si="121"/>
        <v/>
      </c>
      <c r="R810" s="194" t="str">
        <f t="shared" si="122"/>
        <v/>
      </c>
      <c r="S810" s="195" t="str">
        <f t="shared" si="124"/>
        <v/>
      </c>
      <c r="T810" s="196" t="str">
        <f t="shared" si="125"/>
        <v/>
      </c>
      <c r="U810" s="197" t="str">
        <f t="shared" si="126"/>
        <v/>
      </c>
      <c r="V810" s="198" t="str">
        <f t="shared" si="123"/>
        <v/>
      </c>
      <c r="W810" s="339" t="str">
        <f t="shared" si="127"/>
        <v/>
      </c>
      <c r="X810" s="341" t="str">
        <f t="shared" si="128"/>
        <v/>
      </c>
      <c r="Y810" s="277"/>
      <c r="AR810" t="str">
        <f t="shared" si="129"/>
        <v/>
      </c>
      <c r="AS810" t="str">
        <f t="shared" si="130"/>
        <v/>
      </c>
    </row>
    <row r="811" spans="1:45">
      <c r="A811" s="294"/>
      <c r="B811" s="295"/>
      <c r="C811" s="296"/>
      <c r="D811" s="296"/>
      <c r="E811" s="296"/>
      <c r="F811" s="296"/>
      <c r="G811" s="297"/>
      <c r="H811" s="303"/>
      <c r="I811" s="298"/>
      <c r="J811" s="298"/>
      <c r="K811" s="299"/>
      <c r="L811" s="304"/>
      <c r="M811" s="300"/>
      <c r="N811" s="301"/>
      <c r="P811" s="193" t="str">
        <f>IF(R811 = "", "", COUNT(R$4:$R811))</f>
        <v/>
      </c>
      <c r="Q811" s="193" t="str">
        <f t="shared" si="121"/>
        <v/>
      </c>
      <c r="R811" s="194" t="str">
        <f t="shared" si="122"/>
        <v/>
      </c>
      <c r="S811" s="195" t="str">
        <f t="shared" si="124"/>
        <v/>
      </c>
      <c r="T811" s="196" t="str">
        <f t="shared" si="125"/>
        <v/>
      </c>
      <c r="U811" s="197" t="str">
        <f t="shared" si="126"/>
        <v/>
      </c>
      <c r="V811" s="198" t="str">
        <f t="shared" si="123"/>
        <v/>
      </c>
      <c r="W811" s="339" t="str">
        <f t="shared" si="127"/>
        <v/>
      </c>
      <c r="X811" s="341" t="str">
        <f t="shared" si="128"/>
        <v/>
      </c>
      <c r="Y811" s="277"/>
      <c r="AR811" t="str">
        <f t="shared" si="129"/>
        <v/>
      </c>
      <c r="AS811" t="str">
        <f t="shared" si="130"/>
        <v/>
      </c>
    </row>
    <row r="812" spans="1:45">
      <c r="A812" s="294"/>
      <c r="B812" s="295"/>
      <c r="C812" s="296"/>
      <c r="D812" s="296"/>
      <c r="E812" s="296"/>
      <c r="F812" s="296"/>
      <c r="G812" s="297"/>
      <c r="H812" s="303"/>
      <c r="I812" s="298"/>
      <c r="J812" s="298"/>
      <c r="K812" s="299"/>
      <c r="L812" s="304"/>
      <c r="M812" s="300"/>
      <c r="N812" s="301"/>
      <c r="P812" s="193" t="str">
        <f>IF(R812 = "", "", COUNT(R$4:$R812))</f>
        <v/>
      </c>
      <c r="Q812" s="193" t="str">
        <f t="shared" si="121"/>
        <v/>
      </c>
      <c r="R812" s="194" t="str">
        <f t="shared" si="122"/>
        <v/>
      </c>
      <c r="S812" s="195" t="str">
        <f t="shared" si="124"/>
        <v/>
      </c>
      <c r="T812" s="196" t="str">
        <f t="shared" si="125"/>
        <v/>
      </c>
      <c r="U812" s="197" t="str">
        <f t="shared" si="126"/>
        <v/>
      </c>
      <c r="V812" s="198" t="str">
        <f t="shared" si="123"/>
        <v/>
      </c>
      <c r="W812" s="339" t="str">
        <f t="shared" si="127"/>
        <v/>
      </c>
      <c r="X812" s="341" t="str">
        <f t="shared" si="128"/>
        <v/>
      </c>
      <c r="Y812" s="277"/>
      <c r="AR812" t="str">
        <f t="shared" si="129"/>
        <v/>
      </c>
      <c r="AS812" t="str">
        <f t="shared" si="130"/>
        <v/>
      </c>
    </row>
    <row r="813" spans="1:45">
      <c r="A813" s="294"/>
      <c r="B813" s="295"/>
      <c r="C813" s="296"/>
      <c r="D813" s="296"/>
      <c r="E813" s="296"/>
      <c r="F813" s="296"/>
      <c r="G813" s="297"/>
      <c r="H813" s="303"/>
      <c r="I813" s="298"/>
      <c r="J813" s="298"/>
      <c r="K813" s="299"/>
      <c r="L813" s="304"/>
      <c r="M813" s="300"/>
      <c r="N813" s="301"/>
      <c r="P813" s="193" t="str">
        <f>IF(R813 = "", "", COUNT(R$4:$R813))</f>
        <v/>
      </c>
      <c r="Q813" s="193" t="str">
        <f t="shared" si="121"/>
        <v/>
      </c>
      <c r="R813" s="194" t="str">
        <f t="shared" si="122"/>
        <v/>
      </c>
      <c r="S813" s="195" t="str">
        <f t="shared" si="124"/>
        <v/>
      </c>
      <c r="T813" s="196" t="str">
        <f t="shared" si="125"/>
        <v/>
      </c>
      <c r="U813" s="197" t="str">
        <f t="shared" si="126"/>
        <v/>
      </c>
      <c r="V813" s="198" t="str">
        <f t="shared" si="123"/>
        <v/>
      </c>
      <c r="W813" s="339" t="str">
        <f t="shared" si="127"/>
        <v/>
      </c>
      <c r="X813" s="341" t="str">
        <f t="shared" si="128"/>
        <v/>
      </c>
      <c r="Y813" s="277"/>
      <c r="AR813" t="str">
        <f t="shared" si="129"/>
        <v/>
      </c>
      <c r="AS813" t="str">
        <f t="shared" si="130"/>
        <v/>
      </c>
    </row>
    <row r="814" spans="1:45">
      <c r="A814" s="294"/>
      <c r="B814" s="295"/>
      <c r="C814" s="296"/>
      <c r="D814" s="296"/>
      <c r="E814" s="296"/>
      <c r="F814" s="296"/>
      <c r="G814" s="297"/>
      <c r="H814" s="303"/>
      <c r="I814" s="298"/>
      <c r="J814" s="298"/>
      <c r="K814" s="299"/>
      <c r="L814" s="304"/>
      <c r="M814" s="300"/>
      <c r="N814" s="301"/>
      <c r="P814" s="193" t="str">
        <f>IF(R814 = "", "", COUNT(R$4:$R814))</f>
        <v/>
      </c>
      <c r="Q814" s="193" t="str">
        <f t="shared" si="121"/>
        <v/>
      </c>
      <c r="R814" s="194" t="str">
        <f t="shared" si="122"/>
        <v/>
      </c>
      <c r="S814" s="195" t="str">
        <f t="shared" si="124"/>
        <v/>
      </c>
      <c r="T814" s="196" t="str">
        <f t="shared" si="125"/>
        <v/>
      </c>
      <c r="U814" s="197" t="str">
        <f t="shared" si="126"/>
        <v/>
      </c>
      <c r="V814" s="198" t="str">
        <f t="shared" si="123"/>
        <v/>
      </c>
      <c r="W814" s="339" t="str">
        <f t="shared" si="127"/>
        <v/>
      </c>
      <c r="X814" s="341" t="str">
        <f t="shared" si="128"/>
        <v/>
      </c>
      <c r="Y814" s="277"/>
      <c r="AR814" t="str">
        <f t="shared" si="129"/>
        <v/>
      </c>
      <c r="AS814" t="str">
        <f t="shared" si="130"/>
        <v/>
      </c>
    </row>
    <row r="815" spans="1:45">
      <c r="A815" s="294"/>
      <c r="B815" s="295"/>
      <c r="C815" s="296"/>
      <c r="D815" s="296"/>
      <c r="E815" s="296"/>
      <c r="F815" s="296"/>
      <c r="G815" s="297"/>
      <c r="H815" s="303"/>
      <c r="I815" s="298"/>
      <c r="J815" s="298"/>
      <c r="K815" s="299"/>
      <c r="L815" s="304"/>
      <c r="M815" s="300"/>
      <c r="N815" s="301"/>
      <c r="P815" s="193" t="str">
        <f>IF(R815 = "", "", COUNT(R$4:$R815))</f>
        <v/>
      </c>
      <c r="Q815" s="193" t="str">
        <f t="shared" si="121"/>
        <v/>
      </c>
      <c r="R815" s="194" t="str">
        <f t="shared" si="122"/>
        <v/>
      </c>
      <c r="S815" s="195" t="str">
        <f t="shared" si="124"/>
        <v/>
      </c>
      <c r="T815" s="196" t="str">
        <f t="shared" si="125"/>
        <v/>
      </c>
      <c r="U815" s="197" t="str">
        <f t="shared" si="126"/>
        <v/>
      </c>
      <c r="V815" s="198" t="str">
        <f t="shared" si="123"/>
        <v/>
      </c>
      <c r="W815" s="339" t="str">
        <f t="shared" si="127"/>
        <v/>
      </c>
      <c r="X815" s="341" t="str">
        <f t="shared" si="128"/>
        <v/>
      </c>
      <c r="Y815" s="277"/>
      <c r="AR815" t="str">
        <f t="shared" si="129"/>
        <v/>
      </c>
      <c r="AS815" t="str">
        <f t="shared" si="130"/>
        <v/>
      </c>
    </row>
    <row r="816" spans="1:45">
      <c r="A816" s="294"/>
      <c r="B816" s="295"/>
      <c r="C816" s="296"/>
      <c r="D816" s="296"/>
      <c r="E816" s="296"/>
      <c r="F816" s="296"/>
      <c r="G816" s="297"/>
      <c r="H816" s="303"/>
      <c r="I816" s="298"/>
      <c r="J816" s="298"/>
      <c r="K816" s="299"/>
      <c r="L816" s="304"/>
      <c r="M816" s="300"/>
      <c r="N816" s="301"/>
      <c r="P816" s="193" t="str">
        <f>IF(R816 = "", "", COUNT(R$4:$R816))</f>
        <v/>
      </c>
      <c r="Q816" s="193" t="str">
        <f t="shared" si="121"/>
        <v/>
      </c>
      <c r="R816" s="194" t="str">
        <f t="shared" si="122"/>
        <v/>
      </c>
      <c r="S816" s="195" t="str">
        <f t="shared" si="124"/>
        <v/>
      </c>
      <c r="T816" s="196" t="str">
        <f t="shared" si="125"/>
        <v/>
      </c>
      <c r="U816" s="197" t="str">
        <f t="shared" si="126"/>
        <v/>
      </c>
      <c r="V816" s="198" t="str">
        <f t="shared" si="123"/>
        <v/>
      </c>
      <c r="W816" s="339" t="str">
        <f t="shared" si="127"/>
        <v/>
      </c>
      <c r="X816" s="341" t="str">
        <f t="shared" si="128"/>
        <v/>
      </c>
      <c r="Y816" s="277"/>
      <c r="AR816" t="str">
        <f t="shared" si="129"/>
        <v/>
      </c>
      <c r="AS816" t="str">
        <f t="shared" si="130"/>
        <v/>
      </c>
    </row>
    <row r="817" spans="1:45">
      <c r="A817" s="294"/>
      <c r="B817" s="295"/>
      <c r="C817" s="296"/>
      <c r="D817" s="296"/>
      <c r="E817" s="296"/>
      <c r="F817" s="296"/>
      <c r="G817" s="297"/>
      <c r="H817" s="303"/>
      <c r="I817" s="298"/>
      <c r="J817" s="298"/>
      <c r="K817" s="299"/>
      <c r="L817" s="304"/>
      <c r="M817" s="300"/>
      <c r="N817" s="301"/>
      <c r="P817" s="193" t="str">
        <f>IF(R817 = "", "", COUNT(R$4:$R817))</f>
        <v/>
      </c>
      <c r="Q817" s="193" t="str">
        <f t="shared" si="121"/>
        <v/>
      </c>
      <c r="R817" s="194" t="str">
        <f t="shared" si="122"/>
        <v/>
      </c>
      <c r="S817" s="195" t="str">
        <f t="shared" si="124"/>
        <v/>
      </c>
      <c r="T817" s="196" t="str">
        <f t="shared" si="125"/>
        <v/>
      </c>
      <c r="U817" s="197" t="str">
        <f t="shared" si="126"/>
        <v/>
      </c>
      <c r="V817" s="198" t="str">
        <f t="shared" si="123"/>
        <v/>
      </c>
      <c r="W817" s="339" t="str">
        <f t="shared" si="127"/>
        <v/>
      </c>
      <c r="X817" s="341" t="str">
        <f t="shared" si="128"/>
        <v/>
      </c>
      <c r="Y817" s="277"/>
      <c r="AR817" t="str">
        <f t="shared" si="129"/>
        <v/>
      </c>
      <c r="AS817" t="str">
        <f t="shared" si="130"/>
        <v/>
      </c>
    </row>
    <row r="818" spans="1:45">
      <c r="A818" s="294"/>
      <c r="B818" s="295"/>
      <c r="C818" s="296"/>
      <c r="D818" s="296"/>
      <c r="E818" s="296"/>
      <c r="F818" s="296"/>
      <c r="G818" s="297"/>
      <c r="H818" s="303"/>
      <c r="I818" s="298"/>
      <c r="J818" s="298"/>
      <c r="K818" s="299"/>
      <c r="L818" s="304"/>
      <c r="M818" s="300"/>
      <c r="N818" s="301"/>
      <c r="P818" s="193" t="str">
        <f>IF(R818 = "", "", COUNT(R$4:$R818))</f>
        <v/>
      </c>
      <c r="Q818" s="193" t="str">
        <f t="shared" si="121"/>
        <v/>
      </c>
      <c r="R818" s="194" t="str">
        <f t="shared" si="122"/>
        <v/>
      </c>
      <c r="S818" s="195" t="str">
        <f t="shared" si="124"/>
        <v/>
      </c>
      <c r="T818" s="196" t="str">
        <f t="shared" si="125"/>
        <v/>
      </c>
      <c r="U818" s="197" t="str">
        <f t="shared" si="126"/>
        <v/>
      </c>
      <c r="V818" s="198" t="str">
        <f t="shared" si="123"/>
        <v/>
      </c>
      <c r="W818" s="339" t="str">
        <f t="shared" si="127"/>
        <v/>
      </c>
      <c r="X818" s="341" t="str">
        <f t="shared" si="128"/>
        <v/>
      </c>
      <c r="Y818" s="277"/>
      <c r="AR818" t="str">
        <f t="shared" si="129"/>
        <v/>
      </c>
      <c r="AS818" t="str">
        <f t="shared" si="130"/>
        <v/>
      </c>
    </row>
    <row r="819" spans="1:45">
      <c r="A819" s="294"/>
      <c r="B819" s="295"/>
      <c r="C819" s="296"/>
      <c r="D819" s="296"/>
      <c r="E819" s="296"/>
      <c r="F819" s="296"/>
      <c r="G819" s="297"/>
      <c r="H819" s="303"/>
      <c r="I819" s="298"/>
      <c r="J819" s="298"/>
      <c r="K819" s="299"/>
      <c r="L819" s="304"/>
      <c r="M819" s="300"/>
      <c r="N819" s="301"/>
      <c r="P819" s="193" t="str">
        <f>IF(R819 = "", "", COUNT(R$4:$R819))</f>
        <v/>
      </c>
      <c r="Q819" s="193" t="str">
        <f t="shared" si="121"/>
        <v/>
      </c>
      <c r="R819" s="194" t="str">
        <f t="shared" si="122"/>
        <v/>
      </c>
      <c r="S819" s="195" t="str">
        <f t="shared" si="124"/>
        <v/>
      </c>
      <c r="T819" s="196" t="str">
        <f t="shared" si="125"/>
        <v/>
      </c>
      <c r="U819" s="197" t="str">
        <f t="shared" si="126"/>
        <v/>
      </c>
      <c r="V819" s="198" t="str">
        <f t="shared" si="123"/>
        <v/>
      </c>
      <c r="W819" s="339" t="str">
        <f t="shared" si="127"/>
        <v/>
      </c>
      <c r="X819" s="341" t="str">
        <f t="shared" si="128"/>
        <v/>
      </c>
      <c r="Y819" s="277"/>
      <c r="AR819" t="str">
        <f t="shared" si="129"/>
        <v/>
      </c>
      <c r="AS819" t="str">
        <f t="shared" si="130"/>
        <v/>
      </c>
    </row>
    <row r="820" spans="1:45">
      <c r="A820" s="294"/>
      <c r="B820" s="295"/>
      <c r="C820" s="296"/>
      <c r="D820" s="296"/>
      <c r="E820" s="296"/>
      <c r="F820" s="296"/>
      <c r="G820" s="297"/>
      <c r="H820" s="303"/>
      <c r="I820" s="298"/>
      <c r="J820" s="298"/>
      <c r="K820" s="299"/>
      <c r="L820" s="304"/>
      <c r="M820" s="300"/>
      <c r="N820" s="301"/>
      <c r="P820" s="193" t="str">
        <f>IF(R820 = "", "", COUNT(R$4:$R820))</f>
        <v/>
      </c>
      <c r="Q820" s="193" t="str">
        <f t="shared" si="121"/>
        <v/>
      </c>
      <c r="R820" s="194" t="str">
        <f t="shared" si="122"/>
        <v/>
      </c>
      <c r="S820" s="195" t="str">
        <f t="shared" si="124"/>
        <v/>
      </c>
      <c r="T820" s="196" t="str">
        <f t="shared" si="125"/>
        <v/>
      </c>
      <c r="U820" s="197" t="str">
        <f t="shared" si="126"/>
        <v/>
      </c>
      <c r="V820" s="198" t="str">
        <f t="shared" si="123"/>
        <v/>
      </c>
      <c r="W820" s="339" t="str">
        <f t="shared" si="127"/>
        <v/>
      </c>
      <c r="X820" s="341" t="str">
        <f t="shared" si="128"/>
        <v/>
      </c>
      <c r="Y820" s="277"/>
      <c r="AR820" t="str">
        <f t="shared" si="129"/>
        <v/>
      </c>
      <c r="AS820" t="str">
        <f t="shared" si="130"/>
        <v/>
      </c>
    </row>
    <row r="821" spans="1:45">
      <c r="A821" s="294"/>
      <c r="B821" s="295"/>
      <c r="C821" s="296"/>
      <c r="D821" s="296"/>
      <c r="E821" s="296"/>
      <c r="F821" s="296"/>
      <c r="G821" s="297"/>
      <c r="H821" s="303"/>
      <c r="I821" s="298"/>
      <c r="J821" s="298"/>
      <c r="K821" s="299"/>
      <c r="L821" s="304"/>
      <c r="M821" s="300"/>
      <c r="N821" s="301"/>
      <c r="P821" s="193" t="str">
        <f>IF(R821 = "", "", COUNT(R$4:$R821))</f>
        <v/>
      </c>
      <c r="Q821" s="193" t="str">
        <f t="shared" si="121"/>
        <v/>
      </c>
      <c r="R821" s="194" t="str">
        <f t="shared" si="122"/>
        <v/>
      </c>
      <c r="S821" s="195" t="str">
        <f t="shared" si="124"/>
        <v/>
      </c>
      <c r="T821" s="196" t="str">
        <f t="shared" si="125"/>
        <v/>
      </c>
      <c r="U821" s="197" t="str">
        <f t="shared" si="126"/>
        <v/>
      </c>
      <c r="V821" s="198" t="str">
        <f t="shared" si="123"/>
        <v/>
      </c>
      <c r="W821" s="339" t="str">
        <f t="shared" si="127"/>
        <v/>
      </c>
      <c r="X821" s="341" t="str">
        <f t="shared" si="128"/>
        <v/>
      </c>
      <c r="Y821" s="277"/>
      <c r="AR821" t="str">
        <f t="shared" si="129"/>
        <v/>
      </c>
      <c r="AS821" t="str">
        <f t="shared" si="130"/>
        <v/>
      </c>
    </row>
    <row r="822" spans="1:45">
      <c r="A822" s="294"/>
      <c r="B822" s="295"/>
      <c r="C822" s="296"/>
      <c r="D822" s="296"/>
      <c r="E822" s="296"/>
      <c r="F822" s="296"/>
      <c r="G822" s="297"/>
      <c r="H822" s="303"/>
      <c r="I822" s="298"/>
      <c r="J822" s="298"/>
      <c r="K822" s="299"/>
      <c r="L822" s="304"/>
      <c r="M822" s="300"/>
      <c r="N822" s="301"/>
      <c r="P822" s="193" t="str">
        <f>IF(R822 = "", "", COUNT(R$4:$R822))</f>
        <v/>
      </c>
      <c r="Q822" s="193" t="str">
        <f t="shared" si="121"/>
        <v/>
      </c>
      <c r="R822" s="194" t="str">
        <f t="shared" si="122"/>
        <v/>
      </c>
      <c r="S822" s="195" t="str">
        <f t="shared" si="124"/>
        <v/>
      </c>
      <c r="T822" s="196" t="str">
        <f t="shared" si="125"/>
        <v/>
      </c>
      <c r="U822" s="197" t="str">
        <f t="shared" si="126"/>
        <v/>
      </c>
      <c r="V822" s="198" t="str">
        <f t="shared" si="123"/>
        <v/>
      </c>
      <c r="W822" s="339" t="str">
        <f t="shared" si="127"/>
        <v/>
      </c>
      <c r="X822" s="341" t="str">
        <f t="shared" si="128"/>
        <v/>
      </c>
      <c r="Y822" s="277"/>
      <c r="AR822" t="str">
        <f t="shared" si="129"/>
        <v/>
      </c>
      <c r="AS822" t="str">
        <f t="shared" si="130"/>
        <v/>
      </c>
    </row>
    <row r="823" spans="1:45">
      <c r="A823" s="294"/>
      <c r="B823" s="295"/>
      <c r="C823" s="296"/>
      <c r="D823" s="296"/>
      <c r="E823" s="296"/>
      <c r="F823" s="296"/>
      <c r="G823" s="297"/>
      <c r="H823" s="303"/>
      <c r="I823" s="298"/>
      <c r="J823" s="298"/>
      <c r="K823" s="299"/>
      <c r="L823" s="304"/>
      <c r="M823" s="300"/>
      <c r="N823" s="301"/>
      <c r="P823" s="193" t="str">
        <f>IF(R823 = "", "", COUNT(R$4:$R823))</f>
        <v/>
      </c>
      <c r="Q823" s="193" t="str">
        <f t="shared" si="121"/>
        <v/>
      </c>
      <c r="R823" s="194" t="str">
        <f t="shared" si="122"/>
        <v/>
      </c>
      <c r="S823" s="195" t="str">
        <f t="shared" si="124"/>
        <v/>
      </c>
      <c r="T823" s="196" t="str">
        <f t="shared" si="125"/>
        <v/>
      </c>
      <c r="U823" s="197" t="str">
        <f t="shared" si="126"/>
        <v/>
      </c>
      <c r="V823" s="198" t="str">
        <f t="shared" si="123"/>
        <v/>
      </c>
      <c r="W823" s="339" t="str">
        <f t="shared" si="127"/>
        <v/>
      </c>
      <c r="X823" s="341" t="str">
        <f t="shared" si="128"/>
        <v/>
      </c>
      <c r="Y823" s="277"/>
      <c r="AR823" t="str">
        <f t="shared" si="129"/>
        <v/>
      </c>
      <c r="AS823" t="str">
        <f t="shared" si="130"/>
        <v/>
      </c>
    </row>
    <row r="824" spans="1:45">
      <c r="A824" s="294"/>
      <c r="B824" s="295"/>
      <c r="C824" s="296"/>
      <c r="D824" s="296"/>
      <c r="E824" s="296"/>
      <c r="F824" s="296"/>
      <c r="G824" s="297"/>
      <c r="H824" s="303"/>
      <c r="I824" s="298"/>
      <c r="J824" s="298"/>
      <c r="K824" s="299"/>
      <c r="L824" s="304"/>
      <c r="M824" s="300"/>
      <c r="N824" s="301"/>
      <c r="P824" s="193" t="str">
        <f>IF(R824 = "", "", COUNT(R$4:$R824))</f>
        <v/>
      </c>
      <c r="Q824" s="193" t="str">
        <f t="shared" si="121"/>
        <v/>
      </c>
      <c r="R824" s="194" t="str">
        <f t="shared" si="122"/>
        <v/>
      </c>
      <c r="S824" s="195" t="str">
        <f t="shared" si="124"/>
        <v/>
      </c>
      <c r="T824" s="196" t="str">
        <f t="shared" si="125"/>
        <v/>
      </c>
      <c r="U824" s="197" t="str">
        <f t="shared" si="126"/>
        <v/>
      </c>
      <c r="V824" s="198" t="str">
        <f t="shared" si="123"/>
        <v/>
      </c>
      <c r="W824" s="339" t="str">
        <f t="shared" si="127"/>
        <v/>
      </c>
      <c r="X824" s="341" t="str">
        <f t="shared" si="128"/>
        <v/>
      </c>
      <c r="Y824" s="277"/>
      <c r="AR824" t="str">
        <f t="shared" si="129"/>
        <v/>
      </c>
      <c r="AS824" t="str">
        <f t="shared" si="130"/>
        <v/>
      </c>
    </row>
    <row r="825" spans="1:45">
      <c r="A825" s="294"/>
      <c r="B825" s="295"/>
      <c r="C825" s="296"/>
      <c r="D825" s="296"/>
      <c r="E825" s="296"/>
      <c r="F825" s="296"/>
      <c r="G825" s="297"/>
      <c r="H825" s="303"/>
      <c r="I825" s="298"/>
      <c r="J825" s="298"/>
      <c r="K825" s="299"/>
      <c r="L825" s="304"/>
      <c r="M825" s="300"/>
      <c r="N825" s="301"/>
      <c r="P825" s="193" t="str">
        <f>IF(R825 = "", "", COUNT(R$4:$R825))</f>
        <v/>
      </c>
      <c r="Q825" s="193" t="str">
        <f t="shared" si="121"/>
        <v/>
      </c>
      <c r="R825" s="194" t="str">
        <f t="shared" si="122"/>
        <v/>
      </c>
      <c r="S825" s="195" t="str">
        <f t="shared" si="124"/>
        <v/>
      </c>
      <c r="T825" s="196" t="str">
        <f t="shared" si="125"/>
        <v/>
      </c>
      <c r="U825" s="197" t="str">
        <f t="shared" si="126"/>
        <v/>
      </c>
      <c r="V825" s="198" t="str">
        <f t="shared" si="123"/>
        <v/>
      </c>
      <c r="W825" s="339" t="str">
        <f t="shared" si="127"/>
        <v/>
      </c>
      <c r="X825" s="341" t="str">
        <f t="shared" si="128"/>
        <v/>
      </c>
      <c r="Y825" s="277"/>
      <c r="AR825" t="str">
        <f t="shared" si="129"/>
        <v/>
      </c>
      <c r="AS825" t="str">
        <f t="shared" si="130"/>
        <v/>
      </c>
    </row>
    <row r="826" spans="1:45">
      <c r="A826" s="294"/>
      <c r="B826" s="295"/>
      <c r="C826" s="296"/>
      <c r="D826" s="296"/>
      <c r="E826" s="296"/>
      <c r="F826" s="296"/>
      <c r="G826" s="297"/>
      <c r="H826" s="303"/>
      <c r="I826" s="298"/>
      <c r="J826" s="298"/>
      <c r="K826" s="299"/>
      <c r="L826" s="304"/>
      <c r="M826" s="300"/>
      <c r="N826" s="301"/>
      <c r="P826" s="193" t="str">
        <f>IF(R826 = "", "", COUNT(R$4:$R826))</f>
        <v/>
      </c>
      <c r="Q826" s="193" t="str">
        <f t="shared" si="121"/>
        <v/>
      </c>
      <c r="R826" s="194" t="str">
        <f t="shared" si="122"/>
        <v/>
      </c>
      <c r="S826" s="195" t="str">
        <f t="shared" si="124"/>
        <v/>
      </c>
      <c r="T826" s="196" t="str">
        <f t="shared" si="125"/>
        <v/>
      </c>
      <c r="U826" s="197" t="str">
        <f t="shared" si="126"/>
        <v/>
      </c>
      <c r="V826" s="198" t="str">
        <f t="shared" si="123"/>
        <v/>
      </c>
      <c r="W826" s="339" t="str">
        <f t="shared" si="127"/>
        <v/>
      </c>
      <c r="X826" s="341" t="str">
        <f t="shared" si="128"/>
        <v/>
      </c>
      <c r="Y826" s="277"/>
      <c r="AR826" t="str">
        <f t="shared" si="129"/>
        <v/>
      </c>
      <c r="AS826" t="str">
        <f t="shared" si="130"/>
        <v/>
      </c>
    </row>
    <row r="827" spans="1:45">
      <c r="A827" s="294"/>
      <c r="B827" s="295"/>
      <c r="C827" s="296"/>
      <c r="D827" s="296"/>
      <c r="E827" s="296"/>
      <c r="F827" s="296"/>
      <c r="G827" s="297"/>
      <c r="H827" s="303"/>
      <c r="I827" s="298"/>
      <c r="J827" s="298"/>
      <c r="K827" s="299"/>
      <c r="L827" s="304"/>
      <c r="M827" s="300"/>
      <c r="N827" s="301"/>
      <c r="P827" s="193" t="str">
        <f>IF(R827 = "", "", COUNT(R$4:$R827))</f>
        <v/>
      </c>
      <c r="Q827" s="193" t="str">
        <f t="shared" si="121"/>
        <v/>
      </c>
      <c r="R827" s="194" t="str">
        <f t="shared" si="122"/>
        <v/>
      </c>
      <c r="S827" s="195" t="str">
        <f t="shared" si="124"/>
        <v/>
      </c>
      <c r="T827" s="196" t="str">
        <f t="shared" si="125"/>
        <v/>
      </c>
      <c r="U827" s="197" t="str">
        <f t="shared" si="126"/>
        <v/>
      </c>
      <c r="V827" s="198" t="str">
        <f t="shared" si="123"/>
        <v/>
      </c>
      <c r="W827" s="339" t="str">
        <f t="shared" si="127"/>
        <v/>
      </c>
      <c r="X827" s="341" t="str">
        <f t="shared" si="128"/>
        <v/>
      </c>
      <c r="Y827" s="277"/>
      <c r="AR827" t="str">
        <f t="shared" si="129"/>
        <v/>
      </c>
      <c r="AS827" t="str">
        <f t="shared" si="130"/>
        <v/>
      </c>
    </row>
    <row r="828" spans="1:45">
      <c r="A828" s="294"/>
      <c r="B828" s="295"/>
      <c r="C828" s="296"/>
      <c r="D828" s="296"/>
      <c r="E828" s="296"/>
      <c r="F828" s="296"/>
      <c r="G828" s="297"/>
      <c r="H828" s="303"/>
      <c r="I828" s="298"/>
      <c r="J828" s="298"/>
      <c r="K828" s="299"/>
      <c r="L828" s="304"/>
      <c r="M828" s="300"/>
      <c r="N828" s="301"/>
      <c r="P828" s="193" t="str">
        <f>IF(R828 = "", "", COUNT(R$4:$R828))</f>
        <v/>
      </c>
      <c r="Q828" s="193" t="str">
        <f t="shared" si="121"/>
        <v/>
      </c>
      <c r="R828" s="194" t="str">
        <f t="shared" si="122"/>
        <v/>
      </c>
      <c r="S828" s="195" t="str">
        <f t="shared" si="124"/>
        <v/>
      </c>
      <c r="T828" s="196" t="str">
        <f t="shared" si="125"/>
        <v/>
      </c>
      <c r="U828" s="197" t="str">
        <f t="shared" si="126"/>
        <v/>
      </c>
      <c r="V828" s="198" t="str">
        <f t="shared" si="123"/>
        <v/>
      </c>
      <c r="W828" s="339" t="str">
        <f t="shared" si="127"/>
        <v/>
      </c>
      <c r="X828" s="341" t="str">
        <f t="shared" si="128"/>
        <v/>
      </c>
      <c r="Y828" s="277"/>
      <c r="AR828" t="str">
        <f t="shared" si="129"/>
        <v/>
      </c>
      <c r="AS828" t="str">
        <f t="shared" si="130"/>
        <v/>
      </c>
    </row>
    <row r="829" spans="1:45">
      <c r="A829" s="294"/>
      <c r="B829" s="295"/>
      <c r="C829" s="296"/>
      <c r="D829" s="296"/>
      <c r="E829" s="296"/>
      <c r="F829" s="296"/>
      <c r="G829" s="297"/>
      <c r="H829" s="303"/>
      <c r="I829" s="298"/>
      <c r="J829" s="298"/>
      <c r="K829" s="299"/>
      <c r="L829" s="304"/>
      <c r="M829" s="300"/>
      <c r="N829" s="301"/>
      <c r="P829" s="193" t="str">
        <f>IF(R829 = "", "", COUNT(R$4:$R829))</f>
        <v/>
      </c>
      <c r="Q829" s="193" t="str">
        <f t="shared" si="121"/>
        <v/>
      </c>
      <c r="R829" s="194" t="str">
        <f t="shared" si="122"/>
        <v/>
      </c>
      <c r="S829" s="195" t="str">
        <f t="shared" si="124"/>
        <v/>
      </c>
      <c r="T829" s="196" t="str">
        <f t="shared" si="125"/>
        <v/>
      </c>
      <c r="U829" s="197" t="str">
        <f t="shared" si="126"/>
        <v/>
      </c>
      <c r="V829" s="198" t="str">
        <f t="shared" si="123"/>
        <v/>
      </c>
      <c r="W829" s="339" t="str">
        <f t="shared" si="127"/>
        <v/>
      </c>
      <c r="X829" s="341" t="str">
        <f t="shared" si="128"/>
        <v/>
      </c>
      <c r="Y829" s="277"/>
      <c r="AR829" t="str">
        <f t="shared" si="129"/>
        <v/>
      </c>
      <c r="AS829" t="str">
        <f t="shared" si="130"/>
        <v/>
      </c>
    </row>
    <row r="830" spans="1:45">
      <c r="A830" s="294"/>
      <c r="B830" s="295"/>
      <c r="C830" s="296"/>
      <c r="D830" s="296"/>
      <c r="E830" s="296"/>
      <c r="F830" s="296"/>
      <c r="G830" s="297"/>
      <c r="H830" s="303"/>
      <c r="I830" s="298"/>
      <c r="J830" s="298"/>
      <c r="K830" s="299"/>
      <c r="L830" s="304"/>
      <c r="M830" s="300"/>
      <c r="N830" s="301"/>
      <c r="P830" s="193" t="str">
        <f>IF(R830 = "", "", COUNT(R$4:$R830))</f>
        <v/>
      </c>
      <c r="Q830" s="193" t="str">
        <f t="shared" si="121"/>
        <v/>
      </c>
      <c r="R830" s="194" t="str">
        <f t="shared" si="122"/>
        <v/>
      </c>
      <c r="S830" s="195" t="str">
        <f t="shared" si="124"/>
        <v/>
      </c>
      <c r="T830" s="196" t="str">
        <f t="shared" si="125"/>
        <v/>
      </c>
      <c r="U830" s="197" t="str">
        <f t="shared" si="126"/>
        <v/>
      </c>
      <c r="V830" s="198" t="str">
        <f t="shared" si="123"/>
        <v/>
      </c>
      <c r="W830" s="339" t="str">
        <f t="shared" si="127"/>
        <v/>
      </c>
      <c r="X830" s="341" t="str">
        <f t="shared" si="128"/>
        <v/>
      </c>
      <c r="Y830" s="277"/>
      <c r="AR830" t="str">
        <f t="shared" si="129"/>
        <v/>
      </c>
      <c r="AS830" t="str">
        <f t="shared" si="130"/>
        <v/>
      </c>
    </row>
    <row r="831" spans="1:45">
      <c r="A831" s="294"/>
      <c r="B831" s="295"/>
      <c r="C831" s="296"/>
      <c r="D831" s="296"/>
      <c r="E831" s="296"/>
      <c r="F831" s="296"/>
      <c r="G831" s="297"/>
      <c r="H831" s="303"/>
      <c r="I831" s="298"/>
      <c r="J831" s="298"/>
      <c r="K831" s="299"/>
      <c r="L831" s="304"/>
      <c r="M831" s="300"/>
      <c r="N831" s="301"/>
      <c r="P831" s="193" t="str">
        <f>IF(R831 = "", "", COUNT(R$4:$R831))</f>
        <v/>
      </c>
      <c r="Q831" s="193" t="str">
        <f t="shared" si="121"/>
        <v/>
      </c>
      <c r="R831" s="194" t="str">
        <f t="shared" si="122"/>
        <v/>
      </c>
      <c r="S831" s="195" t="str">
        <f t="shared" si="124"/>
        <v/>
      </c>
      <c r="T831" s="196" t="str">
        <f t="shared" si="125"/>
        <v/>
      </c>
      <c r="U831" s="197" t="str">
        <f t="shared" si="126"/>
        <v/>
      </c>
      <c r="V831" s="198" t="str">
        <f t="shared" si="123"/>
        <v/>
      </c>
      <c r="W831" s="339" t="str">
        <f t="shared" si="127"/>
        <v/>
      </c>
      <c r="X831" s="341" t="str">
        <f t="shared" si="128"/>
        <v/>
      </c>
      <c r="Y831" s="277"/>
      <c r="AR831" t="str">
        <f t="shared" si="129"/>
        <v/>
      </c>
      <c r="AS831" t="str">
        <f t="shared" si="130"/>
        <v/>
      </c>
    </row>
    <row r="832" spans="1:45">
      <c r="A832" s="294"/>
      <c r="B832" s="295"/>
      <c r="C832" s="296"/>
      <c r="D832" s="296"/>
      <c r="E832" s="296"/>
      <c r="F832" s="296"/>
      <c r="G832" s="297"/>
      <c r="H832" s="303"/>
      <c r="I832" s="298"/>
      <c r="J832" s="298"/>
      <c r="K832" s="299"/>
      <c r="L832" s="304"/>
      <c r="M832" s="300"/>
      <c r="N832" s="301"/>
      <c r="P832" s="193" t="str">
        <f>IF(R832 = "", "", COUNT(R$4:$R832))</f>
        <v/>
      </c>
      <c r="Q832" s="193" t="str">
        <f t="shared" si="121"/>
        <v/>
      </c>
      <c r="R832" s="194" t="str">
        <f t="shared" si="122"/>
        <v/>
      </c>
      <c r="S832" s="195" t="str">
        <f t="shared" si="124"/>
        <v/>
      </c>
      <c r="T832" s="196" t="str">
        <f t="shared" si="125"/>
        <v/>
      </c>
      <c r="U832" s="197" t="str">
        <f t="shared" si="126"/>
        <v/>
      </c>
      <c r="V832" s="198" t="str">
        <f t="shared" si="123"/>
        <v/>
      </c>
      <c r="W832" s="339" t="str">
        <f t="shared" si="127"/>
        <v/>
      </c>
      <c r="X832" s="341" t="str">
        <f t="shared" si="128"/>
        <v/>
      </c>
      <c r="Y832" s="277"/>
      <c r="AR832" t="str">
        <f t="shared" si="129"/>
        <v/>
      </c>
      <c r="AS832" t="str">
        <f t="shared" si="130"/>
        <v/>
      </c>
    </row>
    <row r="833" spans="1:45">
      <c r="A833" s="294"/>
      <c r="B833" s="295"/>
      <c r="C833" s="296"/>
      <c r="D833" s="296"/>
      <c r="E833" s="296"/>
      <c r="F833" s="296"/>
      <c r="G833" s="297"/>
      <c r="H833" s="303"/>
      <c r="I833" s="298"/>
      <c r="J833" s="298"/>
      <c r="K833" s="299"/>
      <c r="L833" s="304"/>
      <c r="M833" s="300"/>
      <c r="N833" s="301"/>
      <c r="P833" s="193" t="str">
        <f>IF(R833 = "", "", COUNT(R$4:$R833))</f>
        <v/>
      </c>
      <c r="Q833" s="193" t="str">
        <f t="shared" si="121"/>
        <v/>
      </c>
      <c r="R833" s="194" t="str">
        <f t="shared" si="122"/>
        <v/>
      </c>
      <c r="S833" s="195" t="str">
        <f t="shared" si="124"/>
        <v/>
      </c>
      <c r="T833" s="196" t="str">
        <f t="shared" si="125"/>
        <v/>
      </c>
      <c r="U833" s="197" t="str">
        <f t="shared" si="126"/>
        <v/>
      </c>
      <c r="V833" s="198" t="str">
        <f t="shared" si="123"/>
        <v/>
      </c>
      <c r="W833" s="339" t="str">
        <f t="shared" si="127"/>
        <v/>
      </c>
      <c r="X833" s="341" t="str">
        <f t="shared" si="128"/>
        <v/>
      </c>
      <c r="Y833" s="277"/>
      <c r="AR833" t="str">
        <f t="shared" si="129"/>
        <v/>
      </c>
      <c r="AS833" t="str">
        <f t="shared" si="130"/>
        <v/>
      </c>
    </row>
    <row r="834" spans="1:45">
      <c r="A834" s="294"/>
      <c r="B834" s="295"/>
      <c r="C834" s="296"/>
      <c r="D834" s="296"/>
      <c r="E834" s="296"/>
      <c r="F834" s="296"/>
      <c r="G834" s="297"/>
      <c r="H834" s="303"/>
      <c r="I834" s="298"/>
      <c r="J834" s="298"/>
      <c r="K834" s="299"/>
      <c r="L834" s="304"/>
      <c r="M834" s="300"/>
      <c r="N834" s="301"/>
      <c r="P834" s="193" t="str">
        <f>IF(R834 = "", "", COUNT(R$4:$R834))</f>
        <v/>
      </c>
      <c r="Q834" s="193" t="str">
        <f t="shared" si="121"/>
        <v/>
      </c>
      <c r="R834" s="194" t="str">
        <f t="shared" si="122"/>
        <v/>
      </c>
      <c r="S834" s="195" t="str">
        <f t="shared" si="124"/>
        <v/>
      </c>
      <c r="T834" s="196" t="str">
        <f t="shared" si="125"/>
        <v/>
      </c>
      <c r="U834" s="197" t="str">
        <f t="shared" si="126"/>
        <v/>
      </c>
      <c r="V834" s="198" t="str">
        <f t="shared" si="123"/>
        <v/>
      </c>
      <c r="W834" s="339" t="str">
        <f t="shared" si="127"/>
        <v/>
      </c>
      <c r="X834" s="341" t="str">
        <f t="shared" si="128"/>
        <v/>
      </c>
      <c r="Y834" s="277"/>
      <c r="AR834" t="str">
        <f t="shared" si="129"/>
        <v/>
      </c>
      <c r="AS834" t="str">
        <f t="shared" si="130"/>
        <v/>
      </c>
    </row>
    <row r="835" spans="1:45">
      <c r="A835" s="294"/>
      <c r="B835" s="295"/>
      <c r="C835" s="296"/>
      <c r="D835" s="296"/>
      <c r="E835" s="296"/>
      <c r="F835" s="296"/>
      <c r="G835" s="297"/>
      <c r="H835" s="303"/>
      <c r="I835" s="298"/>
      <c r="J835" s="298"/>
      <c r="K835" s="299"/>
      <c r="L835" s="304"/>
      <c r="M835" s="300"/>
      <c r="N835" s="301"/>
      <c r="P835" s="193" t="str">
        <f>IF(R835 = "", "", COUNT(R$4:$R835))</f>
        <v/>
      </c>
      <c r="Q835" s="193" t="str">
        <f t="shared" si="121"/>
        <v/>
      </c>
      <c r="R835" s="194" t="str">
        <f t="shared" si="122"/>
        <v/>
      </c>
      <c r="S835" s="195" t="str">
        <f t="shared" si="124"/>
        <v/>
      </c>
      <c r="T835" s="196" t="str">
        <f t="shared" si="125"/>
        <v/>
      </c>
      <c r="U835" s="197" t="str">
        <f t="shared" si="126"/>
        <v/>
      </c>
      <c r="V835" s="198" t="str">
        <f t="shared" si="123"/>
        <v/>
      </c>
      <c r="W835" s="339" t="str">
        <f t="shared" si="127"/>
        <v/>
      </c>
      <c r="X835" s="341" t="str">
        <f t="shared" si="128"/>
        <v/>
      </c>
      <c r="Y835" s="277"/>
      <c r="AR835" t="str">
        <f t="shared" si="129"/>
        <v/>
      </c>
      <c r="AS835" t="str">
        <f t="shared" si="130"/>
        <v/>
      </c>
    </row>
    <row r="836" spans="1:45">
      <c r="A836" s="294"/>
      <c r="B836" s="295"/>
      <c r="C836" s="296"/>
      <c r="D836" s="296"/>
      <c r="E836" s="296"/>
      <c r="F836" s="296"/>
      <c r="G836" s="297"/>
      <c r="H836" s="303"/>
      <c r="I836" s="298"/>
      <c r="J836" s="298"/>
      <c r="K836" s="299"/>
      <c r="L836" s="304"/>
      <c r="M836" s="300"/>
      <c r="N836" s="301"/>
      <c r="P836" s="193" t="str">
        <f>IF(R836 = "", "", COUNT(R$4:$R836))</f>
        <v/>
      </c>
      <c r="Q836" s="193" t="str">
        <f t="shared" ref="Q836:Q899" si="131">IF(C836 &gt; 0, YEAR(B836), "")</f>
        <v/>
      </c>
      <c r="R836" s="194" t="str">
        <f t="shared" ref="R836:R899" si="132">IF(A836="", "", IF(G836="",1,IF(G836="O",1,IF(G836="C",8.4,IF(G836="B",8.4,IF(G836="A",76.8,IF(G836="K",76.8,"ERR")))))))</f>
        <v/>
      </c>
      <c r="S836" s="195" t="str">
        <f t="shared" si="124"/>
        <v/>
      </c>
      <c r="T836" s="196" t="str">
        <f t="shared" si="125"/>
        <v/>
      </c>
      <c r="U836" s="197" t="str">
        <f t="shared" si="126"/>
        <v/>
      </c>
      <c r="V836" s="198" t="str">
        <f t="shared" ref="V836:V899" si="133">IF(IF(M836&lt;&gt;"",G836,"")=0, "O", IF(M836&lt;&gt;"",G836,""))</f>
        <v/>
      </c>
      <c r="W836" s="339" t="str">
        <f t="shared" si="127"/>
        <v/>
      </c>
      <c r="X836" s="341" t="str">
        <f t="shared" si="128"/>
        <v/>
      </c>
      <c r="Y836" s="277"/>
      <c r="AR836" t="str">
        <f t="shared" si="129"/>
        <v/>
      </c>
      <c r="AS836" t="str">
        <f t="shared" si="130"/>
        <v/>
      </c>
    </row>
    <row r="837" spans="1:45">
      <c r="A837" s="294"/>
      <c r="B837" s="295"/>
      <c r="C837" s="296"/>
      <c r="D837" s="296"/>
      <c r="E837" s="296"/>
      <c r="F837" s="296"/>
      <c r="G837" s="297"/>
      <c r="H837" s="303"/>
      <c r="I837" s="298"/>
      <c r="J837" s="298"/>
      <c r="K837" s="299"/>
      <c r="L837" s="304"/>
      <c r="M837" s="300"/>
      <c r="N837" s="301"/>
      <c r="P837" s="193" t="str">
        <f>IF(R837 = "", "", COUNT(R$4:$R837))</f>
        <v/>
      </c>
      <c r="Q837" s="193" t="str">
        <f t="shared" si="131"/>
        <v/>
      </c>
      <c r="R837" s="194" t="str">
        <f t="shared" si="132"/>
        <v/>
      </c>
      <c r="S837" s="195" t="str">
        <f t="shared" ref="S837:S900" si="134">IF(L837&lt;&gt;"",R837,"")</f>
        <v/>
      </c>
      <c r="T837" s="196" t="str">
        <f t="shared" ref="T837:T900" si="135">IF(IF(L837&lt;&gt;"",G837,"")=0, "O", IF(L837&lt;&gt;"",G837,""))</f>
        <v/>
      </c>
      <c r="U837" s="197" t="str">
        <f t="shared" ref="U837:U900" si="136">IF(M837&lt;&gt;"",R837,"")</f>
        <v/>
      </c>
      <c r="V837" s="198" t="str">
        <f t="shared" si="133"/>
        <v/>
      </c>
      <c r="W837" s="339" t="str">
        <f t="shared" ref="W837:W900" si="137">IF(N837&lt;&gt;"",R837,"")</f>
        <v/>
      </c>
      <c r="X837" s="341" t="str">
        <f t="shared" ref="X837:X900" si="138">IF(IF(N837&lt;&gt;"",G837,"")=0, "O", IF(N837&lt;&gt;"",G837,""))</f>
        <v/>
      </c>
      <c r="Y837" s="277"/>
      <c r="AR837" t="str">
        <f t="shared" ref="AR837:AR900" si="139">IF(P837&gt;0, P837, "")</f>
        <v/>
      </c>
      <c r="AS837" t="str">
        <f t="shared" ref="AS837:AS900" si="140">IF(OR(L837="Y",M837="Y",N837="Y"),"Y","")</f>
        <v/>
      </c>
    </row>
    <row r="838" spans="1:45">
      <c r="A838" s="294"/>
      <c r="B838" s="295"/>
      <c r="C838" s="296"/>
      <c r="D838" s="296"/>
      <c r="E838" s="296"/>
      <c r="F838" s="296"/>
      <c r="G838" s="297"/>
      <c r="H838" s="303"/>
      <c r="I838" s="298"/>
      <c r="J838" s="298"/>
      <c r="K838" s="299"/>
      <c r="L838" s="304"/>
      <c r="M838" s="300"/>
      <c r="N838" s="301"/>
      <c r="P838" s="193" t="str">
        <f>IF(R838 = "", "", COUNT(R$4:$R838))</f>
        <v/>
      </c>
      <c r="Q838" s="193" t="str">
        <f t="shared" si="131"/>
        <v/>
      </c>
      <c r="R838" s="194" t="str">
        <f t="shared" si="132"/>
        <v/>
      </c>
      <c r="S838" s="195" t="str">
        <f t="shared" si="134"/>
        <v/>
      </c>
      <c r="T838" s="196" t="str">
        <f t="shared" si="135"/>
        <v/>
      </c>
      <c r="U838" s="197" t="str">
        <f t="shared" si="136"/>
        <v/>
      </c>
      <c r="V838" s="198" t="str">
        <f t="shared" si="133"/>
        <v/>
      </c>
      <c r="W838" s="339" t="str">
        <f t="shared" si="137"/>
        <v/>
      </c>
      <c r="X838" s="341" t="str">
        <f t="shared" si="138"/>
        <v/>
      </c>
      <c r="Y838" s="277"/>
      <c r="AR838" t="str">
        <f t="shared" si="139"/>
        <v/>
      </c>
      <c r="AS838" t="str">
        <f t="shared" si="140"/>
        <v/>
      </c>
    </row>
    <row r="839" spans="1:45">
      <c r="A839" s="294"/>
      <c r="B839" s="295"/>
      <c r="C839" s="296"/>
      <c r="D839" s="296"/>
      <c r="E839" s="296"/>
      <c r="F839" s="296"/>
      <c r="G839" s="297"/>
      <c r="H839" s="303"/>
      <c r="I839" s="298"/>
      <c r="J839" s="298"/>
      <c r="K839" s="299"/>
      <c r="L839" s="304"/>
      <c r="M839" s="300"/>
      <c r="N839" s="301"/>
      <c r="P839" s="193" t="str">
        <f>IF(R839 = "", "", COUNT(R$4:$R839))</f>
        <v/>
      </c>
      <c r="Q839" s="193" t="str">
        <f t="shared" si="131"/>
        <v/>
      </c>
      <c r="R839" s="194" t="str">
        <f t="shared" si="132"/>
        <v/>
      </c>
      <c r="S839" s="195" t="str">
        <f t="shared" si="134"/>
        <v/>
      </c>
      <c r="T839" s="196" t="str">
        <f t="shared" si="135"/>
        <v/>
      </c>
      <c r="U839" s="197" t="str">
        <f t="shared" si="136"/>
        <v/>
      </c>
      <c r="V839" s="198" t="str">
        <f t="shared" si="133"/>
        <v/>
      </c>
      <c r="W839" s="339" t="str">
        <f t="shared" si="137"/>
        <v/>
      </c>
      <c r="X839" s="341" t="str">
        <f t="shared" si="138"/>
        <v/>
      </c>
      <c r="Y839" s="277"/>
      <c r="AR839" t="str">
        <f t="shared" si="139"/>
        <v/>
      </c>
      <c r="AS839" t="str">
        <f t="shared" si="140"/>
        <v/>
      </c>
    </row>
    <row r="840" spans="1:45">
      <c r="A840" s="294"/>
      <c r="B840" s="295"/>
      <c r="C840" s="296"/>
      <c r="D840" s="296"/>
      <c r="E840" s="296"/>
      <c r="F840" s="296"/>
      <c r="G840" s="297"/>
      <c r="H840" s="303"/>
      <c r="I840" s="298"/>
      <c r="J840" s="298"/>
      <c r="K840" s="299"/>
      <c r="L840" s="304"/>
      <c r="M840" s="300"/>
      <c r="N840" s="301"/>
      <c r="P840" s="193" t="str">
        <f>IF(R840 = "", "", COUNT(R$4:$R840))</f>
        <v/>
      </c>
      <c r="Q840" s="193" t="str">
        <f t="shared" si="131"/>
        <v/>
      </c>
      <c r="R840" s="194" t="str">
        <f t="shared" si="132"/>
        <v/>
      </c>
      <c r="S840" s="195" t="str">
        <f t="shared" si="134"/>
        <v/>
      </c>
      <c r="T840" s="196" t="str">
        <f t="shared" si="135"/>
        <v/>
      </c>
      <c r="U840" s="197" t="str">
        <f t="shared" si="136"/>
        <v/>
      </c>
      <c r="V840" s="198" t="str">
        <f t="shared" si="133"/>
        <v/>
      </c>
      <c r="W840" s="339" t="str">
        <f t="shared" si="137"/>
        <v/>
      </c>
      <c r="X840" s="341" t="str">
        <f t="shared" si="138"/>
        <v/>
      </c>
      <c r="Y840" s="277"/>
      <c r="AR840" t="str">
        <f t="shared" si="139"/>
        <v/>
      </c>
      <c r="AS840" t="str">
        <f t="shared" si="140"/>
        <v/>
      </c>
    </row>
    <row r="841" spans="1:45">
      <c r="A841" s="294"/>
      <c r="B841" s="295"/>
      <c r="C841" s="296"/>
      <c r="D841" s="296"/>
      <c r="E841" s="296"/>
      <c r="F841" s="296"/>
      <c r="G841" s="297"/>
      <c r="H841" s="303"/>
      <c r="I841" s="298"/>
      <c r="J841" s="298"/>
      <c r="K841" s="299"/>
      <c r="L841" s="304"/>
      <c r="M841" s="300"/>
      <c r="N841" s="301"/>
      <c r="P841" s="193" t="str">
        <f>IF(R841 = "", "", COUNT(R$4:$R841))</f>
        <v/>
      </c>
      <c r="Q841" s="193" t="str">
        <f t="shared" si="131"/>
        <v/>
      </c>
      <c r="R841" s="194" t="str">
        <f t="shared" si="132"/>
        <v/>
      </c>
      <c r="S841" s="195" t="str">
        <f t="shared" si="134"/>
        <v/>
      </c>
      <c r="T841" s="196" t="str">
        <f t="shared" si="135"/>
        <v/>
      </c>
      <c r="U841" s="197" t="str">
        <f t="shared" si="136"/>
        <v/>
      </c>
      <c r="V841" s="198" t="str">
        <f t="shared" si="133"/>
        <v/>
      </c>
      <c r="W841" s="339" t="str">
        <f t="shared" si="137"/>
        <v/>
      </c>
      <c r="X841" s="341" t="str">
        <f t="shared" si="138"/>
        <v/>
      </c>
      <c r="Y841" s="277"/>
      <c r="AR841" t="str">
        <f t="shared" si="139"/>
        <v/>
      </c>
      <c r="AS841" t="str">
        <f t="shared" si="140"/>
        <v/>
      </c>
    </row>
    <row r="842" spans="1:45">
      <c r="A842" s="294"/>
      <c r="B842" s="295"/>
      <c r="C842" s="296"/>
      <c r="D842" s="296"/>
      <c r="E842" s="296"/>
      <c r="F842" s="296"/>
      <c r="G842" s="297"/>
      <c r="H842" s="303"/>
      <c r="I842" s="298"/>
      <c r="J842" s="298"/>
      <c r="K842" s="299"/>
      <c r="L842" s="304"/>
      <c r="M842" s="300"/>
      <c r="N842" s="301"/>
      <c r="P842" s="193" t="str">
        <f>IF(R842 = "", "", COUNT(R$4:$R842))</f>
        <v/>
      </c>
      <c r="Q842" s="193" t="str">
        <f t="shared" si="131"/>
        <v/>
      </c>
      <c r="R842" s="194" t="str">
        <f t="shared" si="132"/>
        <v/>
      </c>
      <c r="S842" s="195" t="str">
        <f t="shared" si="134"/>
        <v/>
      </c>
      <c r="T842" s="196" t="str">
        <f t="shared" si="135"/>
        <v/>
      </c>
      <c r="U842" s="197" t="str">
        <f t="shared" si="136"/>
        <v/>
      </c>
      <c r="V842" s="198" t="str">
        <f t="shared" si="133"/>
        <v/>
      </c>
      <c r="W842" s="339" t="str">
        <f t="shared" si="137"/>
        <v/>
      </c>
      <c r="X842" s="341" t="str">
        <f t="shared" si="138"/>
        <v/>
      </c>
      <c r="Y842" s="277"/>
      <c r="AR842" t="str">
        <f t="shared" si="139"/>
        <v/>
      </c>
      <c r="AS842" t="str">
        <f t="shared" si="140"/>
        <v/>
      </c>
    </row>
    <row r="843" spans="1:45">
      <c r="A843" s="294"/>
      <c r="B843" s="295"/>
      <c r="C843" s="296"/>
      <c r="D843" s="296"/>
      <c r="E843" s="296"/>
      <c r="F843" s="296"/>
      <c r="G843" s="297"/>
      <c r="H843" s="303"/>
      <c r="I843" s="298"/>
      <c r="J843" s="298"/>
      <c r="K843" s="299"/>
      <c r="L843" s="304"/>
      <c r="M843" s="300"/>
      <c r="N843" s="301"/>
      <c r="P843" s="193" t="str">
        <f>IF(R843 = "", "", COUNT(R$4:$R843))</f>
        <v/>
      </c>
      <c r="Q843" s="193" t="str">
        <f t="shared" si="131"/>
        <v/>
      </c>
      <c r="R843" s="194" t="str">
        <f t="shared" si="132"/>
        <v/>
      </c>
      <c r="S843" s="195" t="str">
        <f t="shared" si="134"/>
        <v/>
      </c>
      <c r="T843" s="196" t="str">
        <f t="shared" si="135"/>
        <v/>
      </c>
      <c r="U843" s="197" t="str">
        <f t="shared" si="136"/>
        <v/>
      </c>
      <c r="V843" s="198" t="str">
        <f t="shared" si="133"/>
        <v/>
      </c>
      <c r="W843" s="339" t="str">
        <f t="shared" si="137"/>
        <v/>
      </c>
      <c r="X843" s="341" t="str">
        <f t="shared" si="138"/>
        <v/>
      </c>
      <c r="Y843" s="277"/>
      <c r="AR843" t="str">
        <f t="shared" si="139"/>
        <v/>
      </c>
      <c r="AS843" t="str">
        <f t="shared" si="140"/>
        <v/>
      </c>
    </row>
    <row r="844" spans="1:45">
      <c r="A844" s="294"/>
      <c r="B844" s="295"/>
      <c r="C844" s="296"/>
      <c r="D844" s="296"/>
      <c r="E844" s="296"/>
      <c r="F844" s="296"/>
      <c r="G844" s="297"/>
      <c r="H844" s="303"/>
      <c r="I844" s="298"/>
      <c r="J844" s="298"/>
      <c r="K844" s="299"/>
      <c r="L844" s="304"/>
      <c r="M844" s="300"/>
      <c r="N844" s="301"/>
      <c r="P844" s="193" t="str">
        <f>IF(R844 = "", "", COUNT(R$4:$R844))</f>
        <v/>
      </c>
      <c r="Q844" s="193" t="str">
        <f t="shared" si="131"/>
        <v/>
      </c>
      <c r="R844" s="194" t="str">
        <f t="shared" si="132"/>
        <v/>
      </c>
      <c r="S844" s="195" t="str">
        <f t="shared" si="134"/>
        <v/>
      </c>
      <c r="T844" s="196" t="str">
        <f t="shared" si="135"/>
        <v/>
      </c>
      <c r="U844" s="197" t="str">
        <f t="shared" si="136"/>
        <v/>
      </c>
      <c r="V844" s="198" t="str">
        <f t="shared" si="133"/>
        <v/>
      </c>
      <c r="W844" s="339" t="str">
        <f t="shared" si="137"/>
        <v/>
      </c>
      <c r="X844" s="341" t="str">
        <f t="shared" si="138"/>
        <v/>
      </c>
      <c r="Y844" s="277"/>
      <c r="AR844" t="str">
        <f t="shared" si="139"/>
        <v/>
      </c>
      <c r="AS844" t="str">
        <f t="shared" si="140"/>
        <v/>
      </c>
    </row>
    <row r="845" spans="1:45">
      <c r="A845" s="294"/>
      <c r="B845" s="295"/>
      <c r="C845" s="296"/>
      <c r="D845" s="296"/>
      <c r="E845" s="296"/>
      <c r="F845" s="296"/>
      <c r="G845" s="297"/>
      <c r="H845" s="303"/>
      <c r="I845" s="298"/>
      <c r="J845" s="298"/>
      <c r="K845" s="299"/>
      <c r="L845" s="304"/>
      <c r="M845" s="300"/>
      <c r="N845" s="301"/>
      <c r="P845" s="193" t="str">
        <f>IF(R845 = "", "", COUNT(R$4:$R845))</f>
        <v/>
      </c>
      <c r="Q845" s="193" t="str">
        <f t="shared" si="131"/>
        <v/>
      </c>
      <c r="R845" s="194" t="str">
        <f t="shared" si="132"/>
        <v/>
      </c>
      <c r="S845" s="195" t="str">
        <f t="shared" si="134"/>
        <v/>
      </c>
      <c r="T845" s="196" t="str">
        <f t="shared" si="135"/>
        <v/>
      </c>
      <c r="U845" s="197" t="str">
        <f t="shared" si="136"/>
        <v/>
      </c>
      <c r="V845" s="198" t="str">
        <f t="shared" si="133"/>
        <v/>
      </c>
      <c r="W845" s="339" t="str">
        <f t="shared" si="137"/>
        <v/>
      </c>
      <c r="X845" s="341" t="str">
        <f t="shared" si="138"/>
        <v/>
      </c>
      <c r="Y845" s="277"/>
      <c r="AR845" t="str">
        <f t="shared" si="139"/>
        <v/>
      </c>
      <c r="AS845" t="str">
        <f t="shared" si="140"/>
        <v/>
      </c>
    </row>
    <row r="846" spans="1:45">
      <c r="A846" s="294"/>
      <c r="B846" s="295"/>
      <c r="C846" s="296"/>
      <c r="D846" s="296"/>
      <c r="E846" s="296"/>
      <c r="F846" s="296"/>
      <c r="G846" s="297"/>
      <c r="H846" s="303"/>
      <c r="I846" s="298"/>
      <c r="J846" s="298"/>
      <c r="K846" s="299"/>
      <c r="L846" s="304"/>
      <c r="M846" s="300"/>
      <c r="N846" s="301"/>
      <c r="P846" s="193" t="str">
        <f>IF(R846 = "", "", COUNT(R$4:$R846))</f>
        <v/>
      </c>
      <c r="Q846" s="193" t="str">
        <f t="shared" si="131"/>
        <v/>
      </c>
      <c r="R846" s="194" t="str">
        <f t="shared" si="132"/>
        <v/>
      </c>
      <c r="S846" s="195" t="str">
        <f t="shared" si="134"/>
        <v/>
      </c>
      <c r="T846" s="196" t="str">
        <f t="shared" si="135"/>
        <v/>
      </c>
      <c r="U846" s="197" t="str">
        <f t="shared" si="136"/>
        <v/>
      </c>
      <c r="V846" s="198" t="str">
        <f t="shared" si="133"/>
        <v/>
      </c>
      <c r="W846" s="339" t="str">
        <f t="shared" si="137"/>
        <v/>
      </c>
      <c r="X846" s="341" t="str">
        <f t="shared" si="138"/>
        <v/>
      </c>
      <c r="Y846" s="277"/>
      <c r="AR846" t="str">
        <f t="shared" si="139"/>
        <v/>
      </c>
      <c r="AS846" t="str">
        <f t="shared" si="140"/>
        <v/>
      </c>
    </row>
    <row r="847" spans="1:45">
      <c r="A847" s="294"/>
      <c r="B847" s="295"/>
      <c r="C847" s="296"/>
      <c r="D847" s="296"/>
      <c r="E847" s="296"/>
      <c r="F847" s="296"/>
      <c r="G847" s="297"/>
      <c r="H847" s="303"/>
      <c r="I847" s="298"/>
      <c r="J847" s="298"/>
      <c r="K847" s="299"/>
      <c r="L847" s="304"/>
      <c r="M847" s="300"/>
      <c r="N847" s="301"/>
      <c r="P847" s="193" t="str">
        <f>IF(R847 = "", "", COUNT(R$4:$R847))</f>
        <v/>
      </c>
      <c r="Q847" s="193" t="str">
        <f t="shared" si="131"/>
        <v/>
      </c>
      <c r="R847" s="194" t="str">
        <f t="shared" si="132"/>
        <v/>
      </c>
      <c r="S847" s="195" t="str">
        <f t="shared" si="134"/>
        <v/>
      </c>
      <c r="T847" s="196" t="str">
        <f t="shared" si="135"/>
        <v/>
      </c>
      <c r="U847" s="197" t="str">
        <f t="shared" si="136"/>
        <v/>
      </c>
      <c r="V847" s="198" t="str">
        <f t="shared" si="133"/>
        <v/>
      </c>
      <c r="W847" s="339" t="str">
        <f t="shared" si="137"/>
        <v/>
      </c>
      <c r="X847" s="341" t="str">
        <f t="shared" si="138"/>
        <v/>
      </c>
      <c r="Y847" s="277"/>
      <c r="AR847" t="str">
        <f t="shared" si="139"/>
        <v/>
      </c>
      <c r="AS847" t="str">
        <f t="shared" si="140"/>
        <v/>
      </c>
    </row>
    <row r="848" spans="1:45">
      <c r="A848" s="294"/>
      <c r="B848" s="295"/>
      <c r="C848" s="296"/>
      <c r="D848" s="296"/>
      <c r="E848" s="296"/>
      <c r="F848" s="296"/>
      <c r="G848" s="297"/>
      <c r="H848" s="303"/>
      <c r="I848" s="298"/>
      <c r="J848" s="298"/>
      <c r="K848" s="299"/>
      <c r="L848" s="304"/>
      <c r="M848" s="300"/>
      <c r="N848" s="301"/>
      <c r="P848" s="193" t="str">
        <f>IF(R848 = "", "", COUNT(R$4:$R848))</f>
        <v/>
      </c>
      <c r="Q848" s="193" t="str">
        <f t="shared" si="131"/>
        <v/>
      </c>
      <c r="R848" s="194" t="str">
        <f t="shared" si="132"/>
        <v/>
      </c>
      <c r="S848" s="195" t="str">
        <f t="shared" si="134"/>
        <v/>
      </c>
      <c r="T848" s="196" t="str">
        <f t="shared" si="135"/>
        <v/>
      </c>
      <c r="U848" s="197" t="str">
        <f t="shared" si="136"/>
        <v/>
      </c>
      <c r="V848" s="198" t="str">
        <f t="shared" si="133"/>
        <v/>
      </c>
      <c r="W848" s="339" t="str">
        <f t="shared" si="137"/>
        <v/>
      </c>
      <c r="X848" s="341" t="str">
        <f t="shared" si="138"/>
        <v/>
      </c>
      <c r="Y848" s="277"/>
      <c r="AR848" t="str">
        <f t="shared" si="139"/>
        <v/>
      </c>
      <c r="AS848" t="str">
        <f t="shared" si="140"/>
        <v/>
      </c>
    </row>
    <row r="849" spans="1:45">
      <c r="A849" s="294"/>
      <c r="B849" s="295"/>
      <c r="C849" s="296"/>
      <c r="D849" s="296"/>
      <c r="E849" s="296"/>
      <c r="F849" s="296"/>
      <c r="G849" s="297"/>
      <c r="H849" s="303"/>
      <c r="I849" s="298"/>
      <c r="J849" s="298"/>
      <c r="K849" s="299"/>
      <c r="L849" s="304"/>
      <c r="M849" s="300"/>
      <c r="N849" s="301"/>
      <c r="P849" s="193" t="str">
        <f>IF(R849 = "", "", COUNT(R$4:$R849))</f>
        <v/>
      </c>
      <c r="Q849" s="193" t="str">
        <f t="shared" si="131"/>
        <v/>
      </c>
      <c r="R849" s="194" t="str">
        <f t="shared" si="132"/>
        <v/>
      </c>
      <c r="S849" s="195" t="str">
        <f t="shared" si="134"/>
        <v/>
      </c>
      <c r="T849" s="196" t="str">
        <f t="shared" si="135"/>
        <v/>
      </c>
      <c r="U849" s="197" t="str">
        <f t="shared" si="136"/>
        <v/>
      </c>
      <c r="V849" s="198" t="str">
        <f t="shared" si="133"/>
        <v/>
      </c>
      <c r="W849" s="339" t="str">
        <f t="shared" si="137"/>
        <v/>
      </c>
      <c r="X849" s="341" t="str">
        <f t="shared" si="138"/>
        <v/>
      </c>
      <c r="Y849" s="277"/>
      <c r="AR849" t="str">
        <f t="shared" si="139"/>
        <v/>
      </c>
      <c r="AS849" t="str">
        <f t="shared" si="140"/>
        <v/>
      </c>
    </row>
    <row r="850" spans="1:45">
      <c r="A850" s="294"/>
      <c r="B850" s="295"/>
      <c r="C850" s="296"/>
      <c r="D850" s="296"/>
      <c r="E850" s="296"/>
      <c r="F850" s="296"/>
      <c r="G850" s="297"/>
      <c r="H850" s="303"/>
      <c r="I850" s="298"/>
      <c r="J850" s="298"/>
      <c r="K850" s="299"/>
      <c r="L850" s="304"/>
      <c r="M850" s="300"/>
      <c r="N850" s="301"/>
      <c r="P850" s="193" t="str">
        <f>IF(R850 = "", "", COUNT(R$4:$R850))</f>
        <v/>
      </c>
      <c r="Q850" s="193" t="str">
        <f t="shared" si="131"/>
        <v/>
      </c>
      <c r="R850" s="194" t="str">
        <f t="shared" si="132"/>
        <v/>
      </c>
      <c r="S850" s="195" t="str">
        <f t="shared" si="134"/>
        <v/>
      </c>
      <c r="T850" s="196" t="str">
        <f t="shared" si="135"/>
        <v/>
      </c>
      <c r="U850" s="197" t="str">
        <f t="shared" si="136"/>
        <v/>
      </c>
      <c r="V850" s="198" t="str">
        <f t="shared" si="133"/>
        <v/>
      </c>
      <c r="W850" s="339" t="str">
        <f t="shared" si="137"/>
        <v/>
      </c>
      <c r="X850" s="341" t="str">
        <f t="shared" si="138"/>
        <v/>
      </c>
      <c r="Y850" s="277"/>
      <c r="AR850" t="str">
        <f t="shared" si="139"/>
        <v/>
      </c>
      <c r="AS850" t="str">
        <f t="shared" si="140"/>
        <v/>
      </c>
    </row>
    <row r="851" spans="1:45">
      <c r="A851" s="294"/>
      <c r="B851" s="295"/>
      <c r="C851" s="296"/>
      <c r="D851" s="296"/>
      <c r="E851" s="296"/>
      <c r="F851" s="296"/>
      <c r="G851" s="297"/>
      <c r="H851" s="303"/>
      <c r="I851" s="298"/>
      <c r="J851" s="298"/>
      <c r="K851" s="299"/>
      <c r="L851" s="304"/>
      <c r="M851" s="300"/>
      <c r="N851" s="301"/>
      <c r="P851" s="193" t="str">
        <f>IF(R851 = "", "", COUNT(R$4:$R851))</f>
        <v/>
      </c>
      <c r="Q851" s="193" t="str">
        <f t="shared" si="131"/>
        <v/>
      </c>
      <c r="R851" s="194" t="str">
        <f t="shared" si="132"/>
        <v/>
      </c>
      <c r="S851" s="195" t="str">
        <f t="shared" si="134"/>
        <v/>
      </c>
      <c r="T851" s="196" t="str">
        <f t="shared" si="135"/>
        <v/>
      </c>
      <c r="U851" s="197" t="str">
        <f t="shared" si="136"/>
        <v/>
      </c>
      <c r="V851" s="198" t="str">
        <f t="shared" si="133"/>
        <v/>
      </c>
      <c r="W851" s="339" t="str">
        <f t="shared" si="137"/>
        <v/>
      </c>
      <c r="X851" s="341" t="str">
        <f t="shared" si="138"/>
        <v/>
      </c>
      <c r="Y851" s="277"/>
      <c r="AR851" t="str">
        <f t="shared" si="139"/>
        <v/>
      </c>
      <c r="AS851" t="str">
        <f t="shared" si="140"/>
        <v/>
      </c>
    </row>
    <row r="852" spans="1:45">
      <c r="A852" s="294"/>
      <c r="B852" s="295"/>
      <c r="C852" s="296"/>
      <c r="D852" s="296"/>
      <c r="E852" s="296"/>
      <c r="F852" s="296"/>
      <c r="G852" s="297"/>
      <c r="H852" s="303"/>
      <c r="I852" s="298"/>
      <c r="J852" s="298"/>
      <c r="K852" s="299"/>
      <c r="L852" s="304"/>
      <c r="M852" s="300"/>
      <c r="N852" s="301"/>
      <c r="P852" s="193" t="str">
        <f>IF(R852 = "", "", COUNT(R$4:$R852))</f>
        <v/>
      </c>
      <c r="Q852" s="193" t="str">
        <f t="shared" si="131"/>
        <v/>
      </c>
      <c r="R852" s="194" t="str">
        <f t="shared" si="132"/>
        <v/>
      </c>
      <c r="S852" s="195" t="str">
        <f t="shared" si="134"/>
        <v/>
      </c>
      <c r="T852" s="196" t="str">
        <f t="shared" si="135"/>
        <v/>
      </c>
      <c r="U852" s="197" t="str">
        <f t="shared" si="136"/>
        <v/>
      </c>
      <c r="V852" s="198" t="str">
        <f t="shared" si="133"/>
        <v/>
      </c>
      <c r="W852" s="339" t="str">
        <f t="shared" si="137"/>
        <v/>
      </c>
      <c r="X852" s="341" t="str">
        <f t="shared" si="138"/>
        <v/>
      </c>
      <c r="Y852" s="277"/>
      <c r="AR852" t="str">
        <f t="shared" si="139"/>
        <v/>
      </c>
      <c r="AS852" t="str">
        <f t="shared" si="140"/>
        <v/>
      </c>
    </row>
    <row r="853" spans="1:45">
      <c r="A853" s="294"/>
      <c r="B853" s="295"/>
      <c r="C853" s="296"/>
      <c r="D853" s="296"/>
      <c r="E853" s="296"/>
      <c r="F853" s="296"/>
      <c r="G853" s="297"/>
      <c r="H853" s="303"/>
      <c r="I853" s="298"/>
      <c r="J853" s="298"/>
      <c r="K853" s="299"/>
      <c r="L853" s="304"/>
      <c r="M853" s="300"/>
      <c r="N853" s="301"/>
      <c r="P853" s="193" t="str">
        <f>IF(R853 = "", "", COUNT(R$4:$R853))</f>
        <v/>
      </c>
      <c r="Q853" s="193" t="str">
        <f t="shared" si="131"/>
        <v/>
      </c>
      <c r="R853" s="194" t="str">
        <f t="shared" si="132"/>
        <v/>
      </c>
      <c r="S853" s="195" t="str">
        <f t="shared" si="134"/>
        <v/>
      </c>
      <c r="T853" s="196" t="str">
        <f t="shared" si="135"/>
        <v/>
      </c>
      <c r="U853" s="197" t="str">
        <f t="shared" si="136"/>
        <v/>
      </c>
      <c r="V853" s="198" t="str">
        <f t="shared" si="133"/>
        <v/>
      </c>
      <c r="W853" s="339" t="str">
        <f t="shared" si="137"/>
        <v/>
      </c>
      <c r="X853" s="341" t="str">
        <f t="shared" si="138"/>
        <v/>
      </c>
      <c r="Y853" s="277"/>
      <c r="AR853" t="str">
        <f t="shared" si="139"/>
        <v/>
      </c>
      <c r="AS853" t="str">
        <f t="shared" si="140"/>
        <v/>
      </c>
    </row>
    <row r="854" spans="1:45">
      <c r="A854" s="294"/>
      <c r="B854" s="295"/>
      <c r="C854" s="296"/>
      <c r="D854" s="296"/>
      <c r="E854" s="296"/>
      <c r="F854" s="296"/>
      <c r="G854" s="297"/>
      <c r="H854" s="303"/>
      <c r="I854" s="298"/>
      <c r="J854" s="298"/>
      <c r="K854" s="299"/>
      <c r="L854" s="304"/>
      <c r="M854" s="300"/>
      <c r="N854" s="301"/>
      <c r="P854" s="193" t="str">
        <f>IF(R854 = "", "", COUNT(R$4:$R854))</f>
        <v/>
      </c>
      <c r="Q854" s="193" t="str">
        <f t="shared" si="131"/>
        <v/>
      </c>
      <c r="R854" s="194" t="str">
        <f t="shared" si="132"/>
        <v/>
      </c>
      <c r="S854" s="195" t="str">
        <f t="shared" si="134"/>
        <v/>
      </c>
      <c r="T854" s="196" t="str">
        <f t="shared" si="135"/>
        <v/>
      </c>
      <c r="U854" s="197" t="str">
        <f t="shared" si="136"/>
        <v/>
      </c>
      <c r="V854" s="198" t="str">
        <f t="shared" si="133"/>
        <v/>
      </c>
      <c r="W854" s="339" t="str">
        <f t="shared" si="137"/>
        <v/>
      </c>
      <c r="X854" s="341" t="str">
        <f t="shared" si="138"/>
        <v/>
      </c>
      <c r="Y854" s="277"/>
      <c r="AR854" t="str">
        <f t="shared" si="139"/>
        <v/>
      </c>
      <c r="AS854" t="str">
        <f t="shared" si="140"/>
        <v/>
      </c>
    </row>
    <row r="855" spans="1:45">
      <c r="A855" s="294"/>
      <c r="B855" s="295"/>
      <c r="C855" s="296"/>
      <c r="D855" s="296"/>
      <c r="E855" s="296"/>
      <c r="F855" s="296"/>
      <c r="G855" s="297"/>
      <c r="H855" s="303"/>
      <c r="I855" s="298"/>
      <c r="J855" s="298"/>
      <c r="K855" s="299"/>
      <c r="L855" s="304"/>
      <c r="M855" s="300"/>
      <c r="N855" s="301"/>
      <c r="P855" s="193" t="str">
        <f>IF(R855 = "", "", COUNT(R$4:$R855))</f>
        <v/>
      </c>
      <c r="Q855" s="193" t="str">
        <f t="shared" si="131"/>
        <v/>
      </c>
      <c r="R855" s="194" t="str">
        <f t="shared" si="132"/>
        <v/>
      </c>
      <c r="S855" s="195" t="str">
        <f t="shared" si="134"/>
        <v/>
      </c>
      <c r="T855" s="196" t="str">
        <f t="shared" si="135"/>
        <v/>
      </c>
      <c r="U855" s="197" t="str">
        <f t="shared" si="136"/>
        <v/>
      </c>
      <c r="V855" s="198" t="str">
        <f t="shared" si="133"/>
        <v/>
      </c>
      <c r="W855" s="339" t="str">
        <f t="shared" si="137"/>
        <v/>
      </c>
      <c r="X855" s="341" t="str">
        <f t="shared" si="138"/>
        <v/>
      </c>
      <c r="Y855" s="277"/>
      <c r="AR855" t="str">
        <f t="shared" si="139"/>
        <v/>
      </c>
      <c r="AS855" t="str">
        <f t="shared" si="140"/>
        <v/>
      </c>
    </row>
    <row r="856" spans="1:45">
      <c r="A856" s="294"/>
      <c r="B856" s="295"/>
      <c r="C856" s="296"/>
      <c r="D856" s="296"/>
      <c r="E856" s="296"/>
      <c r="F856" s="296"/>
      <c r="G856" s="297"/>
      <c r="H856" s="303"/>
      <c r="I856" s="298"/>
      <c r="J856" s="298"/>
      <c r="K856" s="299"/>
      <c r="L856" s="304"/>
      <c r="M856" s="300"/>
      <c r="N856" s="301"/>
      <c r="P856" s="193" t="str">
        <f>IF(R856 = "", "", COUNT(R$4:$R856))</f>
        <v/>
      </c>
      <c r="Q856" s="193" t="str">
        <f t="shared" si="131"/>
        <v/>
      </c>
      <c r="R856" s="194" t="str">
        <f t="shared" si="132"/>
        <v/>
      </c>
      <c r="S856" s="195" t="str">
        <f t="shared" si="134"/>
        <v/>
      </c>
      <c r="T856" s="196" t="str">
        <f t="shared" si="135"/>
        <v/>
      </c>
      <c r="U856" s="197" t="str">
        <f t="shared" si="136"/>
        <v/>
      </c>
      <c r="V856" s="198" t="str">
        <f t="shared" si="133"/>
        <v/>
      </c>
      <c r="W856" s="339" t="str">
        <f t="shared" si="137"/>
        <v/>
      </c>
      <c r="X856" s="341" t="str">
        <f t="shared" si="138"/>
        <v/>
      </c>
      <c r="Y856" s="277"/>
      <c r="AR856" t="str">
        <f t="shared" si="139"/>
        <v/>
      </c>
      <c r="AS856" t="str">
        <f t="shared" si="140"/>
        <v/>
      </c>
    </row>
    <row r="857" spans="1:45">
      <c r="A857" s="294"/>
      <c r="B857" s="295"/>
      <c r="C857" s="296"/>
      <c r="D857" s="296"/>
      <c r="E857" s="296"/>
      <c r="F857" s="296"/>
      <c r="G857" s="297"/>
      <c r="H857" s="303"/>
      <c r="I857" s="298"/>
      <c r="J857" s="298"/>
      <c r="K857" s="299"/>
      <c r="L857" s="304"/>
      <c r="M857" s="300"/>
      <c r="N857" s="301"/>
      <c r="P857" s="193" t="str">
        <f>IF(R857 = "", "", COUNT(R$4:$R857))</f>
        <v/>
      </c>
      <c r="Q857" s="193" t="str">
        <f t="shared" si="131"/>
        <v/>
      </c>
      <c r="R857" s="194" t="str">
        <f t="shared" si="132"/>
        <v/>
      </c>
      <c r="S857" s="195" t="str">
        <f t="shared" si="134"/>
        <v/>
      </c>
      <c r="T857" s="196" t="str">
        <f t="shared" si="135"/>
        <v/>
      </c>
      <c r="U857" s="197" t="str">
        <f t="shared" si="136"/>
        <v/>
      </c>
      <c r="V857" s="198" t="str">
        <f t="shared" si="133"/>
        <v/>
      </c>
      <c r="W857" s="339" t="str">
        <f t="shared" si="137"/>
        <v/>
      </c>
      <c r="X857" s="341" t="str">
        <f t="shared" si="138"/>
        <v/>
      </c>
      <c r="Y857" s="277"/>
      <c r="AR857" t="str">
        <f t="shared" si="139"/>
        <v/>
      </c>
      <c r="AS857" t="str">
        <f t="shared" si="140"/>
        <v/>
      </c>
    </row>
    <row r="858" spans="1:45">
      <c r="A858" s="294"/>
      <c r="B858" s="295"/>
      <c r="C858" s="296"/>
      <c r="D858" s="296"/>
      <c r="E858" s="296"/>
      <c r="F858" s="296"/>
      <c r="G858" s="297"/>
      <c r="H858" s="303"/>
      <c r="I858" s="298"/>
      <c r="J858" s="298"/>
      <c r="K858" s="299"/>
      <c r="L858" s="304"/>
      <c r="M858" s="300"/>
      <c r="N858" s="301"/>
      <c r="P858" s="193" t="str">
        <f>IF(R858 = "", "", COUNT(R$4:$R858))</f>
        <v/>
      </c>
      <c r="Q858" s="193" t="str">
        <f t="shared" si="131"/>
        <v/>
      </c>
      <c r="R858" s="194" t="str">
        <f t="shared" si="132"/>
        <v/>
      </c>
      <c r="S858" s="195" t="str">
        <f t="shared" si="134"/>
        <v/>
      </c>
      <c r="T858" s="196" t="str">
        <f t="shared" si="135"/>
        <v/>
      </c>
      <c r="U858" s="197" t="str">
        <f t="shared" si="136"/>
        <v/>
      </c>
      <c r="V858" s="198" t="str">
        <f t="shared" si="133"/>
        <v/>
      </c>
      <c r="W858" s="339" t="str">
        <f t="shared" si="137"/>
        <v/>
      </c>
      <c r="X858" s="341" t="str">
        <f t="shared" si="138"/>
        <v/>
      </c>
      <c r="Y858" s="277"/>
      <c r="AR858" t="str">
        <f t="shared" si="139"/>
        <v/>
      </c>
      <c r="AS858" t="str">
        <f t="shared" si="140"/>
        <v/>
      </c>
    </row>
    <row r="859" spans="1:45">
      <c r="A859" s="294"/>
      <c r="B859" s="295"/>
      <c r="C859" s="296"/>
      <c r="D859" s="296"/>
      <c r="E859" s="296"/>
      <c r="F859" s="296"/>
      <c r="G859" s="297"/>
      <c r="H859" s="303"/>
      <c r="I859" s="298"/>
      <c r="J859" s="298"/>
      <c r="K859" s="299"/>
      <c r="L859" s="304"/>
      <c r="M859" s="300"/>
      <c r="N859" s="301"/>
      <c r="P859" s="193" t="str">
        <f>IF(R859 = "", "", COUNT(R$4:$R859))</f>
        <v/>
      </c>
      <c r="Q859" s="193" t="str">
        <f t="shared" si="131"/>
        <v/>
      </c>
      <c r="R859" s="194" t="str">
        <f t="shared" si="132"/>
        <v/>
      </c>
      <c r="S859" s="195" t="str">
        <f t="shared" si="134"/>
        <v/>
      </c>
      <c r="T859" s="196" t="str">
        <f t="shared" si="135"/>
        <v/>
      </c>
      <c r="U859" s="197" t="str">
        <f t="shared" si="136"/>
        <v/>
      </c>
      <c r="V859" s="198" t="str">
        <f t="shared" si="133"/>
        <v/>
      </c>
      <c r="W859" s="339" t="str">
        <f t="shared" si="137"/>
        <v/>
      </c>
      <c r="X859" s="341" t="str">
        <f t="shared" si="138"/>
        <v/>
      </c>
      <c r="Y859" s="277"/>
      <c r="AR859" t="str">
        <f t="shared" si="139"/>
        <v/>
      </c>
      <c r="AS859" t="str">
        <f t="shared" si="140"/>
        <v/>
      </c>
    </row>
    <row r="860" spans="1:45">
      <c r="A860" s="294"/>
      <c r="B860" s="295"/>
      <c r="C860" s="296"/>
      <c r="D860" s="296"/>
      <c r="E860" s="296"/>
      <c r="F860" s="296"/>
      <c r="G860" s="297"/>
      <c r="H860" s="303"/>
      <c r="I860" s="298"/>
      <c r="J860" s="298"/>
      <c r="K860" s="299"/>
      <c r="L860" s="304"/>
      <c r="M860" s="300"/>
      <c r="N860" s="301"/>
      <c r="P860" s="193" t="str">
        <f>IF(R860 = "", "", COUNT(R$4:$R860))</f>
        <v/>
      </c>
      <c r="Q860" s="193" t="str">
        <f t="shared" si="131"/>
        <v/>
      </c>
      <c r="R860" s="194" t="str">
        <f t="shared" si="132"/>
        <v/>
      </c>
      <c r="S860" s="195" t="str">
        <f t="shared" si="134"/>
        <v/>
      </c>
      <c r="T860" s="196" t="str">
        <f t="shared" si="135"/>
        <v/>
      </c>
      <c r="U860" s="197" t="str">
        <f t="shared" si="136"/>
        <v/>
      </c>
      <c r="V860" s="198" t="str">
        <f t="shared" si="133"/>
        <v/>
      </c>
      <c r="W860" s="339" t="str">
        <f t="shared" si="137"/>
        <v/>
      </c>
      <c r="X860" s="341" t="str">
        <f t="shared" si="138"/>
        <v/>
      </c>
      <c r="Y860" s="277"/>
      <c r="AR860" t="str">
        <f t="shared" si="139"/>
        <v/>
      </c>
      <c r="AS860" t="str">
        <f t="shared" si="140"/>
        <v/>
      </c>
    </row>
    <row r="861" spans="1:45">
      <c r="A861" s="294"/>
      <c r="B861" s="295"/>
      <c r="C861" s="296"/>
      <c r="D861" s="296"/>
      <c r="E861" s="296"/>
      <c r="F861" s="296"/>
      <c r="G861" s="297"/>
      <c r="H861" s="303"/>
      <c r="I861" s="298"/>
      <c r="J861" s="298"/>
      <c r="K861" s="299"/>
      <c r="L861" s="304"/>
      <c r="M861" s="300"/>
      <c r="N861" s="301"/>
      <c r="P861" s="193" t="str">
        <f>IF(R861 = "", "", COUNT(R$4:$R861))</f>
        <v/>
      </c>
      <c r="Q861" s="193" t="str">
        <f t="shared" si="131"/>
        <v/>
      </c>
      <c r="R861" s="194" t="str">
        <f t="shared" si="132"/>
        <v/>
      </c>
      <c r="S861" s="195" t="str">
        <f t="shared" si="134"/>
        <v/>
      </c>
      <c r="T861" s="196" t="str">
        <f t="shared" si="135"/>
        <v/>
      </c>
      <c r="U861" s="197" t="str">
        <f t="shared" si="136"/>
        <v/>
      </c>
      <c r="V861" s="198" t="str">
        <f t="shared" si="133"/>
        <v/>
      </c>
      <c r="W861" s="339" t="str">
        <f t="shared" si="137"/>
        <v/>
      </c>
      <c r="X861" s="341" t="str">
        <f t="shared" si="138"/>
        <v/>
      </c>
      <c r="Y861" s="277"/>
      <c r="AR861" t="str">
        <f t="shared" si="139"/>
        <v/>
      </c>
      <c r="AS861" t="str">
        <f t="shared" si="140"/>
        <v/>
      </c>
    </row>
    <row r="862" spans="1:45">
      <c r="A862" s="294"/>
      <c r="B862" s="295"/>
      <c r="C862" s="296"/>
      <c r="D862" s="296"/>
      <c r="E862" s="296"/>
      <c r="F862" s="296"/>
      <c r="G862" s="297"/>
      <c r="H862" s="303"/>
      <c r="I862" s="298"/>
      <c r="J862" s="298"/>
      <c r="K862" s="299"/>
      <c r="L862" s="304"/>
      <c r="M862" s="300"/>
      <c r="N862" s="301"/>
      <c r="P862" s="193" t="str">
        <f>IF(R862 = "", "", COUNT(R$4:$R862))</f>
        <v/>
      </c>
      <c r="Q862" s="193" t="str">
        <f t="shared" si="131"/>
        <v/>
      </c>
      <c r="R862" s="194" t="str">
        <f t="shared" si="132"/>
        <v/>
      </c>
      <c r="S862" s="195" t="str">
        <f t="shared" si="134"/>
        <v/>
      </c>
      <c r="T862" s="196" t="str">
        <f t="shared" si="135"/>
        <v/>
      </c>
      <c r="U862" s="197" t="str">
        <f t="shared" si="136"/>
        <v/>
      </c>
      <c r="V862" s="198" t="str">
        <f t="shared" si="133"/>
        <v/>
      </c>
      <c r="W862" s="339" t="str">
        <f t="shared" si="137"/>
        <v/>
      </c>
      <c r="X862" s="341" t="str">
        <f t="shared" si="138"/>
        <v/>
      </c>
      <c r="Y862" s="277"/>
      <c r="AR862" t="str">
        <f t="shared" si="139"/>
        <v/>
      </c>
      <c r="AS862" t="str">
        <f t="shared" si="140"/>
        <v/>
      </c>
    </row>
    <row r="863" spans="1:45">
      <c r="A863" s="294"/>
      <c r="B863" s="295"/>
      <c r="C863" s="296"/>
      <c r="D863" s="296"/>
      <c r="E863" s="296"/>
      <c r="F863" s="296"/>
      <c r="G863" s="297"/>
      <c r="H863" s="303"/>
      <c r="I863" s="298"/>
      <c r="J863" s="298"/>
      <c r="K863" s="299"/>
      <c r="L863" s="304"/>
      <c r="M863" s="300"/>
      <c r="N863" s="301"/>
      <c r="P863" s="193" t="str">
        <f>IF(R863 = "", "", COUNT(R$4:$R863))</f>
        <v/>
      </c>
      <c r="Q863" s="193" t="str">
        <f t="shared" si="131"/>
        <v/>
      </c>
      <c r="R863" s="194" t="str">
        <f t="shared" si="132"/>
        <v/>
      </c>
      <c r="S863" s="195" t="str">
        <f t="shared" si="134"/>
        <v/>
      </c>
      <c r="T863" s="196" t="str">
        <f t="shared" si="135"/>
        <v/>
      </c>
      <c r="U863" s="197" t="str">
        <f t="shared" si="136"/>
        <v/>
      </c>
      <c r="V863" s="198" t="str">
        <f t="shared" si="133"/>
        <v/>
      </c>
      <c r="W863" s="339" t="str">
        <f t="shared" si="137"/>
        <v/>
      </c>
      <c r="X863" s="341" t="str">
        <f t="shared" si="138"/>
        <v/>
      </c>
      <c r="Y863" s="277"/>
      <c r="AR863" t="str">
        <f t="shared" si="139"/>
        <v/>
      </c>
      <c r="AS863" t="str">
        <f t="shared" si="140"/>
        <v/>
      </c>
    </row>
    <row r="864" spans="1:45">
      <c r="A864" s="294"/>
      <c r="B864" s="295"/>
      <c r="C864" s="296"/>
      <c r="D864" s="296"/>
      <c r="E864" s="296"/>
      <c r="F864" s="296"/>
      <c r="G864" s="297"/>
      <c r="H864" s="303"/>
      <c r="I864" s="298"/>
      <c r="J864" s="298"/>
      <c r="K864" s="299"/>
      <c r="L864" s="304"/>
      <c r="M864" s="300"/>
      <c r="N864" s="301"/>
      <c r="P864" s="193" t="str">
        <f>IF(R864 = "", "", COUNT(R$4:$R864))</f>
        <v/>
      </c>
      <c r="Q864" s="193" t="str">
        <f t="shared" si="131"/>
        <v/>
      </c>
      <c r="R864" s="194" t="str">
        <f t="shared" si="132"/>
        <v/>
      </c>
      <c r="S864" s="195" t="str">
        <f t="shared" si="134"/>
        <v/>
      </c>
      <c r="T864" s="196" t="str">
        <f t="shared" si="135"/>
        <v/>
      </c>
      <c r="U864" s="197" t="str">
        <f t="shared" si="136"/>
        <v/>
      </c>
      <c r="V864" s="198" t="str">
        <f t="shared" si="133"/>
        <v/>
      </c>
      <c r="W864" s="339" t="str">
        <f t="shared" si="137"/>
        <v/>
      </c>
      <c r="X864" s="341" t="str">
        <f t="shared" si="138"/>
        <v/>
      </c>
      <c r="Y864" s="277"/>
      <c r="AR864" t="str">
        <f t="shared" si="139"/>
        <v/>
      </c>
      <c r="AS864" t="str">
        <f t="shared" si="140"/>
        <v/>
      </c>
    </row>
    <row r="865" spans="1:45">
      <c r="A865" s="294"/>
      <c r="B865" s="295"/>
      <c r="C865" s="296"/>
      <c r="D865" s="296"/>
      <c r="E865" s="296"/>
      <c r="F865" s="296"/>
      <c r="G865" s="297"/>
      <c r="H865" s="303"/>
      <c r="I865" s="298"/>
      <c r="J865" s="298"/>
      <c r="K865" s="299"/>
      <c r="L865" s="304"/>
      <c r="M865" s="300"/>
      <c r="N865" s="301"/>
      <c r="P865" s="193" t="str">
        <f>IF(R865 = "", "", COUNT(R$4:$R865))</f>
        <v/>
      </c>
      <c r="Q865" s="193" t="str">
        <f t="shared" si="131"/>
        <v/>
      </c>
      <c r="R865" s="194" t="str">
        <f t="shared" si="132"/>
        <v/>
      </c>
      <c r="S865" s="195" t="str">
        <f t="shared" si="134"/>
        <v/>
      </c>
      <c r="T865" s="196" t="str">
        <f t="shared" si="135"/>
        <v/>
      </c>
      <c r="U865" s="197" t="str">
        <f t="shared" si="136"/>
        <v/>
      </c>
      <c r="V865" s="198" t="str">
        <f t="shared" si="133"/>
        <v/>
      </c>
      <c r="W865" s="339" t="str">
        <f t="shared" si="137"/>
        <v/>
      </c>
      <c r="X865" s="341" t="str">
        <f t="shared" si="138"/>
        <v/>
      </c>
      <c r="Y865" s="277"/>
      <c r="AR865" t="str">
        <f t="shared" si="139"/>
        <v/>
      </c>
      <c r="AS865" t="str">
        <f t="shared" si="140"/>
        <v/>
      </c>
    </row>
    <row r="866" spans="1:45">
      <c r="A866" s="294"/>
      <c r="B866" s="295"/>
      <c r="C866" s="296"/>
      <c r="D866" s="296"/>
      <c r="E866" s="296"/>
      <c r="F866" s="296"/>
      <c r="G866" s="297"/>
      <c r="H866" s="303"/>
      <c r="I866" s="298"/>
      <c r="J866" s="298"/>
      <c r="K866" s="299"/>
      <c r="L866" s="304"/>
      <c r="M866" s="300"/>
      <c r="N866" s="301"/>
      <c r="P866" s="193" t="str">
        <f>IF(R866 = "", "", COUNT(R$4:$R866))</f>
        <v/>
      </c>
      <c r="Q866" s="193" t="str">
        <f t="shared" si="131"/>
        <v/>
      </c>
      <c r="R866" s="194" t="str">
        <f t="shared" si="132"/>
        <v/>
      </c>
      <c r="S866" s="195" t="str">
        <f t="shared" si="134"/>
        <v/>
      </c>
      <c r="T866" s="196" t="str">
        <f t="shared" si="135"/>
        <v/>
      </c>
      <c r="U866" s="197" t="str">
        <f t="shared" si="136"/>
        <v/>
      </c>
      <c r="V866" s="198" t="str">
        <f t="shared" si="133"/>
        <v/>
      </c>
      <c r="W866" s="339" t="str">
        <f t="shared" si="137"/>
        <v/>
      </c>
      <c r="X866" s="341" t="str">
        <f t="shared" si="138"/>
        <v/>
      </c>
      <c r="Y866" s="277"/>
      <c r="AR866" t="str">
        <f t="shared" si="139"/>
        <v/>
      </c>
      <c r="AS866" t="str">
        <f t="shared" si="140"/>
        <v/>
      </c>
    </row>
    <row r="867" spans="1:45">
      <c r="A867" s="294"/>
      <c r="B867" s="295"/>
      <c r="C867" s="296"/>
      <c r="D867" s="296"/>
      <c r="E867" s="296"/>
      <c r="F867" s="296"/>
      <c r="G867" s="297"/>
      <c r="H867" s="303"/>
      <c r="I867" s="298"/>
      <c r="J867" s="298"/>
      <c r="K867" s="299"/>
      <c r="L867" s="304"/>
      <c r="M867" s="300"/>
      <c r="N867" s="301"/>
      <c r="P867" s="193" t="str">
        <f>IF(R867 = "", "", COUNT(R$4:$R867))</f>
        <v/>
      </c>
      <c r="Q867" s="193" t="str">
        <f t="shared" si="131"/>
        <v/>
      </c>
      <c r="R867" s="194" t="str">
        <f t="shared" si="132"/>
        <v/>
      </c>
      <c r="S867" s="195" t="str">
        <f t="shared" si="134"/>
        <v/>
      </c>
      <c r="T867" s="196" t="str">
        <f t="shared" si="135"/>
        <v/>
      </c>
      <c r="U867" s="197" t="str">
        <f t="shared" si="136"/>
        <v/>
      </c>
      <c r="V867" s="198" t="str">
        <f t="shared" si="133"/>
        <v/>
      </c>
      <c r="W867" s="339" t="str">
        <f t="shared" si="137"/>
        <v/>
      </c>
      <c r="X867" s="341" t="str">
        <f t="shared" si="138"/>
        <v/>
      </c>
      <c r="Y867" s="277"/>
      <c r="AR867" t="str">
        <f t="shared" si="139"/>
        <v/>
      </c>
      <c r="AS867" t="str">
        <f t="shared" si="140"/>
        <v/>
      </c>
    </row>
    <row r="868" spans="1:45">
      <c r="A868" s="294"/>
      <c r="B868" s="295"/>
      <c r="C868" s="296"/>
      <c r="D868" s="296"/>
      <c r="E868" s="296"/>
      <c r="F868" s="296"/>
      <c r="G868" s="297"/>
      <c r="H868" s="303"/>
      <c r="I868" s="298"/>
      <c r="J868" s="298"/>
      <c r="K868" s="299"/>
      <c r="L868" s="304"/>
      <c r="M868" s="300"/>
      <c r="N868" s="301"/>
      <c r="P868" s="193" t="str">
        <f>IF(R868 = "", "", COUNT(R$4:$R868))</f>
        <v/>
      </c>
      <c r="Q868" s="193" t="str">
        <f t="shared" si="131"/>
        <v/>
      </c>
      <c r="R868" s="194" t="str">
        <f t="shared" si="132"/>
        <v/>
      </c>
      <c r="S868" s="195" t="str">
        <f t="shared" si="134"/>
        <v/>
      </c>
      <c r="T868" s="196" t="str">
        <f t="shared" si="135"/>
        <v/>
      </c>
      <c r="U868" s="197" t="str">
        <f t="shared" si="136"/>
        <v/>
      </c>
      <c r="V868" s="198" t="str">
        <f t="shared" si="133"/>
        <v/>
      </c>
      <c r="W868" s="339" t="str">
        <f t="shared" si="137"/>
        <v/>
      </c>
      <c r="X868" s="341" t="str">
        <f t="shared" si="138"/>
        <v/>
      </c>
      <c r="Y868" s="277"/>
      <c r="AR868" t="str">
        <f t="shared" si="139"/>
        <v/>
      </c>
      <c r="AS868" t="str">
        <f t="shared" si="140"/>
        <v/>
      </c>
    </row>
    <row r="869" spans="1:45">
      <c r="A869" s="294"/>
      <c r="B869" s="295"/>
      <c r="C869" s="296"/>
      <c r="D869" s="296"/>
      <c r="E869" s="296"/>
      <c r="F869" s="296"/>
      <c r="G869" s="297"/>
      <c r="H869" s="303"/>
      <c r="I869" s="298"/>
      <c r="J869" s="298"/>
      <c r="K869" s="299"/>
      <c r="L869" s="304"/>
      <c r="M869" s="300"/>
      <c r="N869" s="301"/>
      <c r="P869" s="193" t="str">
        <f>IF(R869 = "", "", COUNT(R$4:$R869))</f>
        <v/>
      </c>
      <c r="Q869" s="193" t="str">
        <f t="shared" si="131"/>
        <v/>
      </c>
      <c r="R869" s="194" t="str">
        <f t="shared" si="132"/>
        <v/>
      </c>
      <c r="S869" s="195" t="str">
        <f t="shared" si="134"/>
        <v/>
      </c>
      <c r="T869" s="196" t="str">
        <f t="shared" si="135"/>
        <v/>
      </c>
      <c r="U869" s="197" t="str">
        <f t="shared" si="136"/>
        <v/>
      </c>
      <c r="V869" s="198" t="str">
        <f t="shared" si="133"/>
        <v/>
      </c>
      <c r="W869" s="339" t="str">
        <f t="shared" si="137"/>
        <v/>
      </c>
      <c r="X869" s="341" t="str">
        <f t="shared" si="138"/>
        <v/>
      </c>
      <c r="Y869" s="277"/>
      <c r="AR869" t="str">
        <f t="shared" si="139"/>
        <v/>
      </c>
      <c r="AS869" t="str">
        <f t="shared" si="140"/>
        <v/>
      </c>
    </row>
    <row r="870" spans="1:45">
      <c r="A870" s="294"/>
      <c r="B870" s="295"/>
      <c r="C870" s="296"/>
      <c r="D870" s="296"/>
      <c r="E870" s="296"/>
      <c r="F870" s="296"/>
      <c r="G870" s="297"/>
      <c r="H870" s="303"/>
      <c r="I870" s="298"/>
      <c r="J870" s="298"/>
      <c r="K870" s="299"/>
      <c r="L870" s="304"/>
      <c r="M870" s="300"/>
      <c r="N870" s="301"/>
      <c r="P870" s="193" t="str">
        <f>IF(R870 = "", "", COUNT(R$4:$R870))</f>
        <v/>
      </c>
      <c r="Q870" s="193" t="str">
        <f t="shared" si="131"/>
        <v/>
      </c>
      <c r="R870" s="194" t="str">
        <f t="shared" si="132"/>
        <v/>
      </c>
      <c r="S870" s="195" t="str">
        <f t="shared" si="134"/>
        <v/>
      </c>
      <c r="T870" s="196" t="str">
        <f t="shared" si="135"/>
        <v/>
      </c>
      <c r="U870" s="197" t="str">
        <f t="shared" si="136"/>
        <v/>
      </c>
      <c r="V870" s="198" t="str">
        <f t="shared" si="133"/>
        <v/>
      </c>
      <c r="W870" s="339" t="str">
        <f t="shared" si="137"/>
        <v/>
      </c>
      <c r="X870" s="341" t="str">
        <f t="shared" si="138"/>
        <v/>
      </c>
      <c r="Y870" s="277"/>
      <c r="AR870" t="str">
        <f t="shared" si="139"/>
        <v/>
      </c>
      <c r="AS870" t="str">
        <f t="shared" si="140"/>
        <v/>
      </c>
    </row>
    <row r="871" spans="1:45">
      <c r="A871" s="294"/>
      <c r="B871" s="295"/>
      <c r="C871" s="296"/>
      <c r="D871" s="296"/>
      <c r="E871" s="296"/>
      <c r="F871" s="296"/>
      <c r="G871" s="297"/>
      <c r="H871" s="303"/>
      <c r="I871" s="298"/>
      <c r="J871" s="298"/>
      <c r="K871" s="299"/>
      <c r="L871" s="304"/>
      <c r="M871" s="300"/>
      <c r="N871" s="301"/>
      <c r="P871" s="193" t="str">
        <f>IF(R871 = "", "", COUNT(R$4:$R871))</f>
        <v/>
      </c>
      <c r="Q871" s="193" t="str">
        <f t="shared" si="131"/>
        <v/>
      </c>
      <c r="R871" s="194" t="str">
        <f t="shared" si="132"/>
        <v/>
      </c>
      <c r="S871" s="195" t="str">
        <f t="shared" si="134"/>
        <v/>
      </c>
      <c r="T871" s="196" t="str">
        <f t="shared" si="135"/>
        <v/>
      </c>
      <c r="U871" s="197" t="str">
        <f t="shared" si="136"/>
        <v/>
      </c>
      <c r="V871" s="198" t="str">
        <f t="shared" si="133"/>
        <v/>
      </c>
      <c r="W871" s="339" t="str">
        <f t="shared" si="137"/>
        <v/>
      </c>
      <c r="X871" s="341" t="str">
        <f t="shared" si="138"/>
        <v/>
      </c>
      <c r="Y871" s="277"/>
      <c r="AR871" t="str">
        <f t="shared" si="139"/>
        <v/>
      </c>
      <c r="AS871" t="str">
        <f t="shared" si="140"/>
        <v/>
      </c>
    </row>
    <row r="872" spans="1:45">
      <c r="A872" s="294"/>
      <c r="B872" s="295"/>
      <c r="C872" s="296"/>
      <c r="D872" s="296"/>
      <c r="E872" s="296"/>
      <c r="F872" s="296"/>
      <c r="G872" s="297"/>
      <c r="H872" s="303"/>
      <c r="I872" s="298"/>
      <c r="J872" s="298"/>
      <c r="K872" s="299"/>
      <c r="L872" s="304"/>
      <c r="M872" s="300"/>
      <c r="N872" s="301"/>
      <c r="P872" s="193" t="str">
        <f>IF(R872 = "", "", COUNT(R$4:$R872))</f>
        <v/>
      </c>
      <c r="Q872" s="193" t="str">
        <f t="shared" si="131"/>
        <v/>
      </c>
      <c r="R872" s="194" t="str">
        <f t="shared" si="132"/>
        <v/>
      </c>
      <c r="S872" s="195" t="str">
        <f t="shared" si="134"/>
        <v/>
      </c>
      <c r="T872" s="196" t="str">
        <f t="shared" si="135"/>
        <v/>
      </c>
      <c r="U872" s="197" t="str">
        <f t="shared" si="136"/>
        <v/>
      </c>
      <c r="V872" s="198" t="str">
        <f t="shared" si="133"/>
        <v/>
      </c>
      <c r="W872" s="339" t="str">
        <f t="shared" si="137"/>
        <v/>
      </c>
      <c r="X872" s="341" t="str">
        <f t="shared" si="138"/>
        <v/>
      </c>
      <c r="Y872" s="277"/>
      <c r="AR872" t="str">
        <f t="shared" si="139"/>
        <v/>
      </c>
      <c r="AS872" t="str">
        <f t="shared" si="140"/>
        <v/>
      </c>
    </row>
    <row r="873" spans="1:45">
      <c r="A873" s="294"/>
      <c r="B873" s="295"/>
      <c r="C873" s="296"/>
      <c r="D873" s="296"/>
      <c r="E873" s="296"/>
      <c r="F873" s="296"/>
      <c r="G873" s="297"/>
      <c r="H873" s="303"/>
      <c r="I873" s="298"/>
      <c r="J873" s="298"/>
      <c r="K873" s="299"/>
      <c r="L873" s="304"/>
      <c r="M873" s="300"/>
      <c r="N873" s="301"/>
      <c r="P873" s="193" t="str">
        <f>IF(R873 = "", "", COUNT(R$4:$R873))</f>
        <v/>
      </c>
      <c r="Q873" s="193" t="str">
        <f t="shared" si="131"/>
        <v/>
      </c>
      <c r="R873" s="194" t="str">
        <f t="shared" si="132"/>
        <v/>
      </c>
      <c r="S873" s="195" t="str">
        <f t="shared" si="134"/>
        <v/>
      </c>
      <c r="T873" s="196" t="str">
        <f t="shared" si="135"/>
        <v/>
      </c>
      <c r="U873" s="197" t="str">
        <f t="shared" si="136"/>
        <v/>
      </c>
      <c r="V873" s="198" t="str">
        <f t="shared" si="133"/>
        <v/>
      </c>
      <c r="W873" s="339" t="str">
        <f t="shared" si="137"/>
        <v/>
      </c>
      <c r="X873" s="341" t="str">
        <f t="shared" si="138"/>
        <v/>
      </c>
      <c r="Y873" s="277"/>
      <c r="AR873" t="str">
        <f t="shared" si="139"/>
        <v/>
      </c>
      <c r="AS873" t="str">
        <f t="shared" si="140"/>
        <v/>
      </c>
    </row>
    <row r="874" spans="1:45">
      <c r="A874" s="294"/>
      <c r="B874" s="295"/>
      <c r="C874" s="296"/>
      <c r="D874" s="296"/>
      <c r="E874" s="296"/>
      <c r="F874" s="296"/>
      <c r="G874" s="297"/>
      <c r="H874" s="303"/>
      <c r="I874" s="298"/>
      <c r="J874" s="298"/>
      <c r="K874" s="299"/>
      <c r="L874" s="304"/>
      <c r="M874" s="300"/>
      <c r="N874" s="301"/>
      <c r="P874" s="193" t="str">
        <f>IF(R874 = "", "", COUNT(R$4:$R874))</f>
        <v/>
      </c>
      <c r="Q874" s="193" t="str">
        <f t="shared" si="131"/>
        <v/>
      </c>
      <c r="R874" s="194" t="str">
        <f t="shared" si="132"/>
        <v/>
      </c>
      <c r="S874" s="195" t="str">
        <f t="shared" si="134"/>
        <v/>
      </c>
      <c r="T874" s="196" t="str">
        <f t="shared" si="135"/>
        <v/>
      </c>
      <c r="U874" s="197" t="str">
        <f t="shared" si="136"/>
        <v/>
      </c>
      <c r="V874" s="198" t="str">
        <f t="shared" si="133"/>
        <v/>
      </c>
      <c r="W874" s="339" t="str">
        <f t="shared" si="137"/>
        <v/>
      </c>
      <c r="X874" s="341" t="str">
        <f t="shared" si="138"/>
        <v/>
      </c>
      <c r="Y874" s="277"/>
      <c r="AR874" t="str">
        <f t="shared" si="139"/>
        <v/>
      </c>
      <c r="AS874" t="str">
        <f t="shared" si="140"/>
        <v/>
      </c>
    </row>
    <row r="875" spans="1:45">
      <c r="A875" s="294"/>
      <c r="B875" s="295"/>
      <c r="C875" s="296"/>
      <c r="D875" s="296"/>
      <c r="E875" s="296"/>
      <c r="F875" s="296"/>
      <c r="G875" s="297"/>
      <c r="H875" s="303"/>
      <c r="I875" s="298"/>
      <c r="J875" s="298"/>
      <c r="K875" s="299"/>
      <c r="L875" s="304"/>
      <c r="M875" s="300"/>
      <c r="N875" s="301"/>
      <c r="P875" s="193" t="str">
        <f>IF(R875 = "", "", COUNT(R$4:$R875))</f>
        <v/>
      </c>
      <c r="Q875" s="193" t="str">
        <f t="shared" si="131"/>
        <v/>
      </c>
      <c r="R875" s="194" t="str">
        <f t="shared" si="132"/>
        <v/>
      </c>
      <c r="S875" s="195" t="str">
        <f t="shared" si="134"/>
        <v/>
      </c>
      <c r="T875" s="196" t="str">
        <f t="shared" si="135"/>
        <v/>
      </c>
      <c r="U875" s="197" t="str">
        <f t="shared" si="136"/>
        <v/>
      </c>
      <c r="V875" s="198" t="str">
        <f t="shared" si="133"/>
        <v/>
      </c>
      <c r="W875" s="339" t="str">
        <f t="shared" si="137"/>
        <v/>
      </c>
      <c r="X875" s="341" t="str">
        <f t="shared" si="138"/>
        <v/>
      </c>
      <c r="Y875" s="277"/>
      <c r="AR875" t="str">
        <f t="shared" si="139"/>
        <v/>
      </c>
      <c r="AS875" t="str">
        <f t="shared" si="140"/>
        <v/>
      </c>
    </row>
    <row r="876" spans="1:45">
      <c r="A876" s="294"/>
      <c r="B876" s="295"/>
      <c r="C876" s="296"/>
      <c r="D876" s="296"/>
      <c r="E876" s="296"/>
      <c r="F876" s="296"/>
      <c r="G876" s="297"/>
      <c r="H876" s="303"/>
      <c r="I876" s="298"/>
      <c r="J876" s="298"/>
      <c r="K876" s="299"/>
      <c r="L876" s="304"/>
      <c r="M876" s="300"/>
      <c r="N876" s="301"/>
      <c r="P876" s="193" t="str">
        <f>IF(R876 = "", "", COUNT(R$4:$R876))</f>
        <v/>
      </c>
      <c r="Q876" s="193" t="str">
        <f t="shared" si="131"/>
        <v/>
      </c>
      <c r="R876" s="194" t="str">
        <f t="shared" si="132"/>
        <v/>
      </c>
      <c r="S876" s="195" t="str">
        <f t="shared" si="134"/>
        <v/>
      </c>
      <c r="T876" s="196" t="str">
        <f t="shared" si="135"/>
        <v/>
      </c>
      <c r="U876" s="197" t="str">
        <f t="shared" si="136"/>
        <v/>
      </c>
      <c r="V876" s="198" t="str">
        <f t="shared" si="133"/>
        <v/>
      </c>
      <c r="W876" s="339" t="str">
        <f t="shared" si="137"/>
        <v/>
      </c>
      <c r="X876" s="341" t="str">
        <f t="shared" si="138"/>
        <v/>
      </c>
      <c r="Y876" s="277"/>
      <c r="AR876" t="str">
        <f t="shared" si="139"/>
        <v/>
      </c>
      <c r="AS876" t="str">
        <f t="shared" si="140"/>
        <v/>
      </c>
    </row>
    <row r="877" spans="1:45">
      <c r="A877" s="294"/>
      <c r="B877" s="295"/>
      <c r="C877" s="296"/>
      <c r="D877" s="296"/>
      <c r="E877" s="296"/>
      <c r="F877" s="296"/>
      <c r="G877" s="297"/>
      <c r="H877" s="303"/>
      <c r="I877" s="298"/>
      <c r="J877" s="298"/>
      <c r="K877" s="299"/>
      <c r="L877" s="304"/>
      <c r="M877" s="300"/>
      <c r="N877" s="301"/>
      <c r="P877" s="193" t="str">
        <f>IF(R877 = "", "", COUNT(R$4:$R877))</f>
        <v/>
      </c>
      <c r="Q877" s="193" t="str">
        <f t="shared" si="131"/>
        <v/>
      </c>
      <c r="R877" s="194" t="str">
        <f t="shared" si="132"/>
        <v/>
      </c>
      <c r="S877" s="195" t="str">
        <f t="shared" si="134"/>
        <v/>
      </c>
      <c r="T877" s="196" t="str">
        <f t="shared" si="135"/>
        <v/>
      </c>
      <c r="U877" s="197" t="str">
        <f t="shared" si="136"/>
        <v/>
      </c>
      <c r="V877" s="198" t="str">
        <f t="shared" si="133"/>
        <v/>
      </c>
      <c r="W877" s="339" t="str">
        <f t="shared" si="137"/>
        <v/>
      </c>
      <c r="X877" s="341" t="str">
        <f t="shared" si="138"/>
        <v/>
      </c>
      <c r="Y877" s="277"/>
      <c r="AR877" t="str">
        <f t="shared" si="139"/>
        <v/>
      </c>
      <c r="AS877" t="str">
        <f t="shared" si="140"/>
        <v/>
      </c>
    </row>
    <row r="878" spans="1:45">
      <c r="A878" s="294"/>
      <c r="B878" s="295"/>
      <c r="C878" s="296"/>
      <c r="D878" s="296"/>
      <c r="E878" s="296"/>
      <c r="F878" s="296"/>
      <c r="G878" s="297"/>
      <c r="H878" s="303"/>
      <c r="I878" s="298"/>
      <c r="J878" s="298"/>
      <c r="K878" s="299"/>
      <c r="L878" s="304"/>
      <c r="M878" s="300"/>
      <c r="N878" s="301"/>
      <c r="P878" s="193" t="str">
        <f>IF(R878 = "", "", COUNT(R$4:$R878))</f>
        <v/>
      </c>
      <c r="Q878" s="193" t="str">
        <f t="shared" si="131"/>
        <v/>
      </c>
      <c r="R878" s="194" t="str">
        <f t="shared" si="132"/>
        <v/>
      </c>
      <c r="S878" s="195" t="str">
        <f t="shared" si="134"/>
        <v/>
      </c>
      <c r="T878" s="196" t="str">
        <f t="shared" si="135"/>
        <v/>
      </c>
      <c r="U878" s="197" t="str">
        <f t="shared" si="136"/>
        <v/>
      </c>
      <c r="V878" s="198" t="str">
        <f t="shared" si="133"/>
        <v/>
      </c>
      <c r="W878" s="339" t="str">
        <f t="shared" si="137"/>
        <v/>
      </c>
      <c r="X878" s="341" t="str">
        <f t="shared" si="138"/>
        <v/>
      </c>
      <c r="Y878" s="277"/>
      <c r="AR878" t="str">
        <f t="shared" si="139"/>
        <v/>
      </c>
      <c r="AS878" t="str">
        <f t="shared" si="140"/>
        <v/>
      </c>
    </row>
    <row r="879" spans="1:45">
      <c r="A879" s="294"/>
      <c r="B879" s="295"/>
      <c r="C879" s="296"/>
      <c r="D879" s="296"/>
      <c r="E879" s="296"/>
      <c r="F879" s="296"/>
      <c r="G879" s="297"/>
      <c r="H879" s="303"/>
      <c r="I879" s="298"/>
      <c r="J879" s="298"/>
      <c r="K879" s="299"/>
      <c r="L879" s="304"/>
      <c r="M879" s="300"/>
      <c r="N879" s="301"/>
      <c r="P879" s="193" t="str">
        <f>IF(R879 = "", "", COUNT(R$4:$R879))</f>
        <v/>
      </c>
      <c r="Q879" s="193" t="str">
        <f t="shared" si="131"/>
        <v/>
      </c>
      <c r="R879" s="194" t="str">
        <f t="shared" si="132"/>
        <v/>
      </c>
      <c r="S879" s="195" t="str">
        <f t="shared" si="134"/>
        <v/>
      </c>
      <c r="T879" s="196" t="str">
        <f t="shared" si="135"/>
        <v/>
      </c>
      <c r="U879" s="197" t="str">
        <f t="shared" si="136"/>
        <v/>
      </c>
      <c r="V879" s="198" t="str">
        <f t="shared" si="133"/>
        <v/>
      </c>
      <c r="W879" s="339" t="str">
        <f t="shared" si="137"/>
        <v/>
      </c>
      <c r="X879" s="341" t="str">
        <f t="shared" si="138"/>
        <v/>
      </c>
      <c r="Y879" s="277"/>
      <c r="AR879" t="str">
        <f t="shared" si="139"/>
        <v/>
      </c>
      <c r="AS879" t="str">
        <f t="shared" si="140"/>
        <v/>
      </c>
    </row>
    <row r="880" spans="1:45">
      <c r="A880" s="294"/>
      <c r="B880" s="295"/>
      <c r="C880" s="296"/>
      <c r="D880" s="296"/>
      <c r="E880" s="296"/>
      <c r="F880" s="296"/>
      <c r="G880" s="297"/>
      <c r="H880" s="303"/>
      <c r="I880" s="298"/>
      <c r="J880" s="298"/>
      <c r="K880" s="299"/>
      <c r="L880" s="304"/>
      <c r="M880" s="300"/>
      <c r="N880" s="301"/>
      <c r="P880" s="193" t="str">
        <f>IF(R880 = "", "", COUNT(R$4:$R880))</f>
        <v/>
      </c>
      <c r="Q880" s="193" t="str">
        <f t="shared" si="131"/>
        <v/>
      </c>
      <c r="R880" s="194" t="str">
        <f t="shared" si="132"/>
        <v/>
      </c>
      <c r="S880" s="195" t="str">
        <f t="shared" si="134"/>
        <v/>
      </c>
      <c r="T880" s="196" t="str">
        <f t="shared" si="135"/>
        <v/>
      </c>
      <c r="U880" s="197" t="str">
        <f t="shared" si="136"/>
        <v/>
      </c>
      <c r="V880" s="198" t="str">
        <f t="shared" si="133"/>
        <v/>
      </c>
      <c r="W880" s="339" t="str">
        <f t="shared" si="137"/>
        <v/>
      </c>
      <c r="X880" s="341" t="str">
        <f t="shared" si="138"/>
        <v/>
      </c>
      <c r="Y880" s="277"/>
      <c r="AR880" t="str">
        <f t="shared" si="139"/>
        <v/>
      </c>
      <c r="AS880" t="str">
        <f t="shared" si="140"/>
        <v/>
      </c>
    </row>
    <row r="881" spans="1:45">
      <c r="A881" s="294"/>
      <c r="B881" s="295"/>
      <c r="C881" s="296"/>
      <c r="D881" s="296"/>
      <c r="E881" s="296"/>
      <c r="F881" s="296"/>
      <c r="G881" s="297"/>
      <c r="H881" s="303"/>
      <c r="I881" s="298"/>
      <c r="J881" s="298"/>
      <c r="K881" s="299"/>
      <c r="L881" s="304"/>
      <c r="M881" s="300"/>
      <c r="N881" s="301"/>
      <c r="P881" s="193" t="str">
        <f>IF(R881 = "", "", COUNT(R$4:$R881))</f>
        <v/>
      </c>
      <c r="Q881" s="193" t="str">
        <f t="shared" si="131"/>
        <v/>
      </c>
      <c r="R881" s="194" t="str">
        <f t="shared" si="132"/>
        <v/>
      </c>
      <c r="S881" s="195" t="str">
        <f t="shared" si="134"/>
        <v/>
      </c>
      <c r="T881" s="196" t="str">
        <f t="shared" si="135"/>
        <v/>
      </c>
      <c r="U881" s="197" t="str">
        <f t="shared" si="136"/>
        <v/>
      </c>
      <c r="V881" s="198" t="str">
        <f t="shared" si="133"/>
        <v/>
      </c>
      <c r="W881" s="339" t="str">
        <f t="shared" si="137"/>
        <v/>
      </c>
      <c r="X881" s="341" t="str">
        <f t="shared" si="138"/>
        <v/>
      </c>
      <c r="Y881" s="277"/>
      <c r="AR881" t="str">
        <f t="shared" si="139"/>
        <v/>
      </c>
      <c r="AS881" t="str">
        <f t="shared" si="140"/>
        <v/>
      </c>
    </row>
    <row r="882" spans="1:45">
      <c r="A882" s="294"/>
      <c r="B882" s="295"/>
      <c r="C882" s="296"/>
      <c r="D882" s="296"/>
      <c r="E882" s="296"/>
      <c r="F882" s="296"/>
      <c r="G882" s="297"/>
      <c r="H882" s="303"/>
      <c r="I882" s="298"/>
      <c r="J882" s="298"/>
      <c r="K882" s="299"/>
      <c r="L882" s="304"/>
      <c r="M882" s="300"/>
      <c r="N882" s="301"/>
      <c r="P882" s="193" t="str">
        <f>IF(R882 = "", "", COUNT(R$4:$R882))</f>
        <v/>
      </c>
      <c r="Q882" s="193" t="str">
        <f t="shared" si="131"/>
        <v/>
      </c>
      <c r="R882" s="194" t="str">
        <f t="shared" si="132"/>
        <v/>
      </c>
      <c r="S882" s="195" t="str">
        <f t="shared" si="134"/>
        <v/>
      </c>
      <c r="T882" s="196" t="str">
        <f t="shared" si="135"/>
        <v/>
      </c>
      <c r="U882" s="197" t="str">
        <f t="shared" si="136"/>
        <v/>
      </c>
      <c r="V882" s="198" t="str">
        <f t="shared" si="133"/>
        <v/>
      </c>
      <c r="W882" s="339" t="str">
        <f t="shared" si="137"/>
        <v/>
      </c>
      <c r="X882" s="341" t="str">
        <f t="shared" si="138"/>
        <v/>
      </c>
      <c r="Y882" s="277"/>
      <c r="AR882" t="str">
        <f t="shared" si="139"/>
        <v/>
      </c>
      <c r="AS882" t="str">
        <f t="shared" si="140"/>
        <v/>
      </c>
    </row>
    <row r="883" spans="1:45">
      <c r="A883" s="294"/>
      <c r="B883" s="295"/>
      <c r="C883" s="296"/>
      <c r="D883" s="296"/>
      <c r="E883" s="296"/>
      <c r="F883" s="296"/>
      <c r="G883" s="297"/>
      <c r="H883" s="303"/>
      <c r="I883" s="298"/>
      <c r="J883" s="298"/>
      <c r="K883" s="299"/>
      <c r="L883" s="304"/>
      <c r="M883" s="300"/>
      <c r="N883" s="301"/>
      <c r="P883" s="193" t="str">
        <f>IF(R883 = "", "", COUNT(R$4:$R883))</f>
        <v/>
      </c>
      <c r="Q883" s="193" t="str">
        <f t="shared" si="131"/>
        <v/>
      </c>
      <c r="R883" s="194" t="str">
        <f t="shared" si="132"/>
        <v/>
      </c>
      <c r="S883" s="195" t="str">
        <f t="shared" si="134"/>
        <v/>
      </c>
      <c r="T883" s="196" t="str">
        <f t="shared" si="135"/>
        <v/>
      </c>
      <c r="U883" s="197" t="str">
        <f t="shared" si="136"/>
        <v/>
      </c>
      <c r="V883" s="198" t="str">
        <f t="shared" si="133"/>
        <v/>
      </c>
      <c r="W883" s="339" t="str">
        <f t="shared" si="137"/>
        <v/>
      </c>
      <c r="X883" s="341" t="str">
        <f t="shared" si="138"/>
        <v/>
      </c>
      <c r="Y883" s="277"/>
      <c r="AR883" t="str">
        <f t="shared" si="139"/>
        <v/>
      </c>
      <c r="AS883" t="str">
        <f t="shared" si="140"/>
        <v/>
      </c>
    </row>
    <row r="884" spans="1:45">
      <c r="A884" s="294"/>
      <c r="B884" s="295"/>
      <c r="C884" s="296"/>
      <c r="D884" s="296"/>
      <c r="E884" s="296"/>
      <c r="F884" s="296"/>
      <c r="G884" s="297"/>
      <c r="H884" s="303"/>
      <c r="I884" s="298"/>
      <c r="J884" s="298"/>
      <c r="K884" s="299"/>
      <c r="L884" s="304"/>
      <c r="M884" s="300"/>
      <c r="N884" s="301"/>
      <c r="P884" s="193" t="str">
        <f>IF(R884 = "", "", COUNT(R$4:$R884))</f>
        <v/>
      </c>
      <c r="Q884" s="193" t="str">
        <f t="shared" si="131"/>
        <v/>
      </c>
      <c r="R884" s="194" t="str">
        <f t="shared" si="132"/>
        <v/>
      </c>
      <c r="S884" s="195" t="str">
        <f t="shared" si="134"/>
        <v/>
      </c>
      <c r="T884" s="196" t="str">
        <f t="shared" si="135"/>
        <v/>
      </c>
      <c r="U884" s="197" t="str">
        <f t="shared" si="136"/>
        <v/>
      </c>
      <c r="V884" s="198" t="str">
        <f t="shared" si="133"/>
        <v/>
      </c>
      <c r="W884" s="339" t="str">
        <f t="shared" si="137"/>
        <v/>
      </c>
      <c r="X884" s="341" t="str">
        <f t="shared" si="138"/>
        <v/>
      </c>
      <c r="Y884" s="277"/>
      <c r="AR884" t="str">
        <f t="shared" si="139"/>
        <v/>
      </c>
      <c r="AS884" t="str">
        <f t="shared" si="140"/>
        <v/>
      </c>
    </row>
    <row r="885" spans="1:45">
      <c r="A885" s="294"/>
      <c r="B885" s="295"/>
      <c r="C885" s="296"/>
      <c r="D885" s="296"/>
      <c r="E885" s="296"/>
      <c r="F885" s="296"/>
      <c r="G885" s="297"/>
      <c r="H885" s="303"/>
      <c r="I885" s="298"/>
      <c r="J885" s="298"/>
      <c r="K885" s="299"/>
      <c r="L885" s="304"/>
      <c r="M885" s="300"/>
      <c r="N885" s="301"/>
      <c r="P885" s="193" t="str">
        <f>IF(R885 = "", "", COUNT(R$4:$R885))</f>
        <v/>
      </c>
      <c r="Q885" s="193" t="str">
        <f t="shared" si="131"/>
        <v/>
      </c>
      <c r="R885" s="194" t="str">
        <f t="shared" si="132"/>
        <v/>
      </c>
      <c r="S885" s="195" t="str">
        <f t="shared" si="134"/>
        <v/>
      </c>
      <c r="T885" s="196" t="str">
        <f t="shared" si="135"/>
        <v/>
      </c>
      <c r="U885" s="197" t="str">
        <f t="shared" si="136"/>
        <v/>
      </c>
      <c r="V885" s="198" t="str">
        <f t="shared" si="133"/>
        <v/>
      </c>
      <c r="W885" s="339" t="str">
        <f t="shared" si="137"/>
        <v/>
      </c>
      <c r="X885" s="341" t="str">
        <f t="shared" si="138"/>
        <v/>
      </c>
      <c r="Y885" s="277"/>
      <c r="AR885" t="str">
        <f t="shared" si="139"/>
        <v/>
      </c>
      <c r="AS885" t="str">
        <f t="shared" si="140"/>
        <v/>
      </c>
    </row>
    <row r="886" spans="1:45">
      <c r="A886" s="294"/>
      <c r="B886" s="295"/>
      <c r="C886" s="296"/>
      <c r="D886" s="296"/>
      <c r="E886" s="296"/>
      <c r="F886" s="296"/>
      <c r="G886" s="297"/>
      <c r="H886" s="303"/>
      <c r="I886" s="298"/>
      <c r="J886" s="298"/>
      <c r="K886" s="299"/>
      <c r="L886" s="304"/>
      <c r="M886" s="300"/>
      <c r="N886" s="301"/>
      <c r="P886" s="193" t="str">
        <f>IF(R886 = "", "", COUNT(R$4:$R886))</f>
        <v/>
      </c>
      <c r="Q886" s="193" t="str">
        <f t="shared" si="131"/>
        <v/>
      </c>
      <c r="R886" s="194" t="str">
        <f t="shared" si="132"/>
        <v/>
      </c>
      <c r="S886" s="195" t="str">
        <f t="shared" si="134"/>
        <v/>
      </c>
      <c r="T886" s="196" t="str">
        <f t="shared" si="135"/>
        <v/>
      </c>
      <c r="U886" s="197" t="str">
        <f t="shared" si="136"/>
        <v/>
      </c>
      <c r="V886" s="198" t="str">
        <f t="shared" si="133"/>
        <v/>
      </c>
      <c r="W886" s="339" t="str">
        <f t="shared" si="137"/>
        <v/>
      </c>
      <c r="X886" s="341" t="str">
        <f t="shared" si="138"/>
        <v/>
      </c>
      <c r="Y886" s="277"/>
      <c r="AR886" t="str">
        <f t="shared" si="139"/>
        <v/>
      </c>
      <c r="AS886" t="str">
        <f t="shared" si="140"/>
        <v/>
      </c>
    </row>
    <row r="887" spans="1:45">
      <c r="A887" s="294"/>
      <c r="B887" s="295"/>
      <c r="C887" s="296"/>
      <c r="D887" s="296"/>
      <c r="E887" s="296"/>
      <c r="F887" s="296"/>
      <c r="G887" s="297"/>
      <c r="H887" s="303"/>
      <c r="I887" s="298"/>
      <c r="J887" s="298"/>
      <c r="K887" s="299"/>
      <c r="L887" s="304"/>
      <c r="M887" s="300"/>
      <c r="N887" s="301"/>
      <c r="P887" s="193" t="str">
        <f>IF(R887 = "", "", COUNT(R$4:$R887))</f>
        <v/>
      </c>
      <c r="Q887" s="193" t="str">
        <f t="shared" si="131"/>
        <v/>
      </c>
      <c r="R887" s="194" t="str">
        <f t="shared" si="132"/>
        <v/>
      </c>
      <c r="S887" s="195" t="str">
        <f t="shared" si="134"/>
        <v/>
      </c>
      <c r="T887" s="196" t="str">
        <f t="shared" si="135"/>
        <v/>
      </c>
      <c r="U887" s="197" t="str">
        <f t="shared" si="136"/>
        <v/>
      </c>
      <c r="V887" s="198" t="str">
        <f t="shared" si="133"/>
        <v/>
      </c>
      <c r="W887" s="339" t="str">
        <f t="shared" si="137"/>
        <v/>
      </c>
      <c r="X887" s="341" t="str">
        <f t="shared" si="138"/>
        <v/>
      </c>
      <c r="Y887" s="277"/>
      <c r="AR887" t="str">
        <f t="shared" si="139"/>
        <v/>
      </c>
      <c r="AS887" t="str">
        <f t="shared" si="140"/>
        <v/>
      </c>
    </row>
    <row r="888" spans="1:45">
      <c r="A888" s="294"/>
      <c r="B888" s="295"/>
      <c r="C888" s="296"/>
      <c r="D888" s="296"/>
      <c r="E888" s="296"/>
      <c r="F888" s="296"/>
      <c r="G888" s="297"/>
      <c r="H888" s="303"/>
      <c r="I888" s="298"/>
      <c r="J888" s="298"/>
      <c r="K888" s="299"/>
      <c r="L888" s="304"/>
      <c r="M888" s="300"/>
      <c r="N888" s="301"/>
      <c r="P888" s="193" t="str">
        <f>IF(R888 = "", "", COUNT(R$4:$R888))</f>
        <v/>
      </c>
      <c r="Q888" s="193" t="str">
        <f t="shared" si="131"/>
        <v/>
      </c>
      <c r="R888" s="194" t="str">
        <f t="shared" si="132"/>
        <v/>
      </c>
      <c r="S888" s="195" t="str">
        <f t="shared" si="134"/>
        <v/>
      </c>
      <c r="T888" s="196" t="str">
        <f t="shared" si="135"/>
        <v/>
      </c>
      <c r="U888" s="197" t="str">
        <f t="shared" si="136"/>
        <v/>
      </c>
      <c r="V888" s="198" t="str">
        <f t="shared" si="133"/>
        <v/>
      </c>
      <c r="W888" s="339" t="str">
        <f t="shared" si="137"/>
        <v/>
      </c>
      <c r="X888" s="341" t="str">
        <f t="shared" si="138"/>
        <v/>
      </c>
      <c r="Y888" s="277"/>
      <c r="AR888" t="str">
        <f t="shared" si="139"/>
        <v/>
      </c>
      <c r="AS888" t="str">
        <f t="shared" si="140"/>
        <v/>
      </c>
    </row>
    <row r="889" spans="1:45">
      <c r="A889" s="294"/>
      <c r="B889" s="295"/>
      <c r="C889" s="296"/>
      <c r="D889" s="296"/>
      <c r="E889" s="296"/>
      <c r="F889" s="296"/>
      <c r="G889" s="297"/>
      <c r="H889" s="303"/>
      <c r="I889" s="298"/>
      <c r="J889" s="298"/>
      <c r="K889" s="299"/>
      <c r="L889" s="304"/>
      <c r="M889" s="300"/>
      <c r="N889" s="301"/>
      <c r="P889" s="193" t="str">
        <f>IF(R889 = "", "", COUNT(R$4:$R889))</f>
        <v/>
      </c>
      <c r="Q889" s="193" t="str">
        <f t="shared" si="131"/>
        <v/>
      </c>
      <c r="R889" s="194" t="str">
        <f t="shared" si="132"/>
        <v/>
      </c>
      <c r="S889" s="195" t="str">
        <f t="shared" si="134"/>
        <v/>
      </c>
      <c r="T889" s="196" t="str">
        <f t="shared" si="135"/>
        <v/>
      </c>
      <c r="U889" s="197" t="str">
        <f t="shared" si="136"/>
        <v/>
      </c>
      <c r="V889" s="198" t="str">
        <f t="shared" si="133"/>
        <v/>
      </c>
      <c r="W889" s="339" t="str">
        <f t="shared" si="137"/>
        <v/>
      </c>
      <c r="X889" s="341" t="str">
        <f t="shared" si="138"/>
        <v/>
      </c>
      <c r="Y889" s="277"/>
      <c r="AR889" t="str">
        <f t="shared" si="139"/>
        <v/>
      </c>
      <c r="AS889" t="str">
        <f t="shared" si="140"/>
        <v/>
      </c>
    </row>
    <row r="890" spans="1:45">
      <c r="A890" s="294"/>
      <c r="B890" s="295"/>
      <c r="C890" s="296"/>
      <c r="D890" s="296"/>
      <c r="E890" s="296"/>
      <c r="F890" s="296"/>
      <c r="G890" s="297"/>
      <c r="H890" s="303"/>
      <c r="I890" s="298"/>
      <c r="J890" s="298"/>
      <c r="K890" s="299"/>
      <c r="L890" s="304"/>
      <c r="M890" s="300"/>
      <c r="N890" s="301"/>
      <c r="P890" s="193" t="str">
        <f>IF(R890 = "", "", COUNT(R$4:$R890))</f>
        <v/>
      </c>
      <c r="Q890" s="193" t="str">
        <f t="shared" si="131"/>
        <v/>
      </c>
      <c r="R890" s="194" t="str">
        <f t="shared" si="132"/>
        <v/>
      </c>
      <c r="S890" s="195" t="str">
        <f t="shared" si="134"/>
        <v/>
      </c>
      <c r="T890" s="196" t="str">
        <f t="shared" si="135"/>
        <v/>
      </c>
      <c r="U890" s="197" t="str">
        <f t="shared" si="136"/>
        <v/>
      </c>
      <c r="V890" s="198" t="str">
        <f t="shared" si="133"/>
        <v/>
      </c>
      <c r="W890" s="339" t="str">
        <f t="shared" si="137"/>
        <v/>
      </c>
      <c r="X890" s="341" t="str">
        <f t="shared" si="138"/>
        <v/>
      </c>
      <c r="Y890" s="277"/>
      <c r="AR890" t="str">
        <f t="shared" si="139"/>
        <v/>
      </c>
      <c r="AS890" t="str">
        <f t="shared" si="140"/>
        <v/>
      </c>
    </row>
    <row r="891" spans="1:45">
      <c r="A891" s="294"/>
      <c r="B891" s="295"/>
      <c r="C891" s="296"/>
      <c r="D891" s="296"/>
      <c r="E891" s="296"/>
      <c r="F891" s="296"/>
      <c r="G891" s="297"/>
      <c r="H891" s="303"/>
      <c r="I891" s="298"/>
      <c r="J891" s="298"/>
      <c r="K891" s="299"/>
      <c r="L891" s="304"/>
      <c r="M891" s="300"/>
      <c r="N891" s="301"/>
      <c r="P891" s="193" t="str">
        <f>IF(R891 = "", "", COUNT(R$4:$R891))</f>
        <v/>
      </c>
      <c r="Q891" s="193" t="str">
        <f t="shared" si="131"/>
        <v/>
      </c>
      <c r="R891" s="194" t="str">
        <f t="shared" si="132"/>
        <v/>
      </c>
      <c r="S891" s="195" t="str">
        <f t="shared" si="134"/>
        <v/>
      </c>
      <c r="T891" s="196" t="str">
        <f t="shared" si="135"/>
        <v/>
      </c>
      <c r="U891" s="197" t="str">
        <f t="shared" si="136"/>
        <v/>
      </c>
      <c r="V891" s="198" t="str">
        <f t="shared" si="133"/>
        <v/>
      </c>
      <c r="W891" s="339" t="str">
        <f t="shared" si="137"/>
        <v/>
      </c>
      <c r="X891" s="341" t="str">
        <f t="shared" si="138"/>
        <v/>
      </c>
      <c r="Y891" s="277"/>
      <c r="AR891" t="str">
        <f t="shared" si="139"/>
        <v/>
      </c>
      <c r="AS891" t="str">
        <f t="shared" si="140"/>
        <v/>
      </c>
    </row>
    <row r="892" spans="1:45">
      <c r="A892" s="294"/>
      <c r="B892" s="295"/>
      <c r="C892" s="296"/>
      <c r="D892" s="296"/>
      <c r="E892" s="296"/>
      <c r="F892" s="296"/>
      <c r="G892" s="297"/>
      <c r="H892" s="303"/>
      <c r="I892" s="298"/>
      <c r="J892" s="298"/>
      <c r="K892" s="299"/>
      <c r="L892" s="304"/>
      <c r="M892" s="300"/>
      <c r="N892" s="301"/>
      <c r="P892" s="193" t="str">
        <f>IF(R892 = "", "", COUNT(R$4:$R892))</f>
        <v/>
      </c>
      <c r="Q892" s="193" t="str">
        <f t="shared" si="131"/>
        <v/>
      </c>
      <c r="R892" s="194" t="str">
        <f t="shared" si="132"/>
        <v/>
      </c>
      <c r="S892" s="195" t="str">
        <f t="shared" si="134"/>
        <v/>
      </c>
      <c r="T892" s="196" t="str">
        <f t="shared" si="135"/>
        <v/>
      </c>
      <c r="U892" s="197" t="str">
        <f t="shared" si="136"/>
        <v/>
      </c>
      <c r="V892" s="198" t="str">
        <f t="shared" si="133"/>
        <v/>
      </c>
      <c r="W892" s="339" t="str">
        <f t="shared" si="137"/>
        <v/>
      </c>
      <c r="X892" s="341" t="str">
        <f t="shared" si="138"/>
        <v/>
      </c>
      <c r="Y892" s="277"/>
      <c r="AR892" t="str">
        <f t="shared" si="139"/>
        <v/>
      </c>
      <c r="AS892" t="str">
        <f t="shared" si="140"/>
        <v/>
      </c>
    </row>
    <row r="893" spans="1:45">
      <c r="A893" s="294"/>
      <c r="B893" s="295"/>
      <c r="C893" s="296"/>
      <c r="D893" s="296"/>
      <c r="E893" s="296"/>
      <c r="F893" s="296"/>
      <c r="G893" s="297"/>
      <c r="H893" s="303"/>
      <c r="I893" s="298"/>
      <c r="J893" s="298"/>
      <c r="K893" s="299"/>
      <c r="L893" s="304"/>
      <c r="M893" s="300"/>
      <c r="N893" s="301"/>
      <c r="P893" s="193" t="str">
        <f>IF(R893 = "", "", COUNT(R$4:$R893))</f>
        <v/>
      </c>
      <c r="Q893" s="193" t="str">
        <f t="shared" si="131"/>
        <v/>
      </c>
      <c r="R893" s="194" t="str">
        <f t="shared" si="132"/>
        <v/>
      </c>
      <c r="S893" s="195" t="str">
        <f t="shared" si="134"/>
        <v/>
      </c>
      <c r="T893" s="196" t="str">
        <f t="shared" si="135"/>
        <v/>
      </c>
      <c r="U893" s="197" t="str">
        <f t="shared" si="136"/>
        <v/>
      </c>
      <c r="V893" s="198" t="str">
        <f t="shared" si="133"/>
        <v/>
      </c>
      <c r="W893" s="339" t="str">
        <f t="shared" si="137"/>
        <v/>
      </c>
      <c r="X893" s="341" t="str">
        <f t="shared" si="138"/>
        <v/>
      </c>
      <c r="Y893" s="277"/>
      <c r="AR893" t="str">
        <f t="shared" si="139"/>
        <v/>
      </c>
      <c r="AS893" t="str">
        <f t="shared" si="140"/>
        <v/>
      </c>
    </row>
    <row r="894" spans="1:45">
      <c r="A894" s="294"/>
      <c r="B894" s="295"/>
      <c r="C894" s="296"/>
      <c r="D894" s="296"/>
      <c r="E894" s="296"/>
      <c r="F894" s="296"/>
      <c r="G894" s="297"/>
      <c r="H894" s="303"/>
      <c r="I894" s="298"/>
      <c r="J894" s="298"/>
      <c r="K894" s="299"/>
      <c r="L894" s="304"/>
      <c r="M894" s="300"/>
      <c r="N894" s="301"/>
      <c r="P894" s="193" t="str">
        <f>IF(R894 = "", "", COUNT(R$4:$R894))</f>
        <v/>
      </c>
      <c r="Q894" s="193" t="str">
        <f t="shared" si="131"/>
        <v/>
      </c>
      <c r="R894" s="194" t="str">
        <f t="shared" si="132"/>
        <v/>
      </c>
      <c r="S894" s="195" t="str">
        <f t="shared" si="134"/>
        <v/>
      </c>
      <c r="T894" s="196" t="str">
        <f t="shared" si="135"/>
        <v/>
      </c>
      <c r="U894" s="197" t="str">
        <f t="shared" si="136"/>
        <v/>
      </c>
      <c r="V894" s="198" t="str">
        <f t="shared" si="133"/>
        <v/>
      </c>
      <c r="W894" s="339" t="str">
        <f t="shared" si="137"/>
        <v/>
      </c>
      <c r="X894" s="341" t="str">
        <f t="shared" si="138"/>
        <v/>
      </c>
      <c r="Y894" s="277"/>
      <c r="AR894" t="str">
        <f t="shared" si="139"/>
        <v/>
      </c>
      <c r="AS894" t="str">
        <f t="shared" si="140"/>
        <v/>
      </c>
    </row>
    <row r="895" spans="1:45">
      <c r="A895" s="294"/>
      <c r="B895" s="295"/>
      <c r="C895" s="296"/>
      <c r="D895" s="296"/>
      <c r="E895" s="296"/>
      <c r="F895" s="296"/>
      <c r="G895" s="297"/>
      <c r="H895" s="303"/>
      <c r="I895" s="298"/>
      <c r="J895" s="298"/>
      <c r="K895" s="299"/>
      <c r="L895" s="304"/>
      <c r="M895" s="300"/>
      <c r="N895" s="301"/>
      <c r="P895" s="193" t="str">
        <f>IF(R895 = "", "", COUNT(R$4:$R895))</f>
        <v/>
      </c>
      <c r="Q895" s="193" t="str">
        <f t="shared" si="131"/>
        <v/>
      </c>
      <c r="R895" s="194" t="str">
        <f t="shared" si="132"/>
        <v/>
      </c>
      <c r="S895" s="195" t="str">
        <f t="shared" si="134"/>
        <v/>
      </c>
      <c r="T895" s="196" t="str">
        <f t="shared" si="135"/>
        <v/>
      </c>
      <c r="U895" s="197" t="str">
        <f t="shared" si="136"/>
        <v/>
      </c>
      <c r="V895" s="198" t="str">
        <f t="shared" si="133"/>
        <v/>
      </c>
      <c r="W895" s="339" t="str">
        <f t="shared" si="137"/>
        <v/>
      </c>
      <c r="X895" s="341" t="str">
        <f t="shared" si="138"/>
        <v/>
      </c>
      <c r="Y895" s="277"/>
      <c r="AR895" t="str">
        <f t="shared" si="139"/>
        <v/>
      </c>
      <c r="AS895" t="str">
        <f t="shared" si="140"/>
        <v/>
      </c>
    </row>
    <row r="896" spans="1:45">
      <c r="A896" s="294"/>
      <c r="B896" s="295"/>
      <c r="C896" s="296"/>
      <c r="D896" s="296"/>
      <c r="E896" s="296"/>
      <c r="F896" s="296"/>
      <c r="G896" s="297"/>
      <c r="H896" s="303"/>
      <c r="I896" s="298"/>
      <c r="J896" s="298"/>
      <c r="K896" s="299"/>
      <c r="L896" s="304"/>
      <c r="M896" s="300"/>
      <c r="N896" s="301"/>
      <c r="P896" s="193" t="str">
        <f>IF(R896 = "", "", COUNT(R$4:$R896))</f>
        <v/>
      </c>
      <c r="Q896" s="193" t="str">
        <f t="shared" si="131"/>
        <v/>
      </c>
      <c r="R896" s="194" t="str">
        <f t="shared" si="132"/>
        <v/>
      </c>
      <c r="S896" s="195" t="str">
        <f t="shared" si="134"/>
        <v/>
      </c>
      <c r="T896" s="196" t="str">
        <f t="shared" si="135"/>
        <v/>
      </c>
      <c r="U896" s="197" t="str">
        <f t="shared" si="136"/>
        <v/>
      </c>
      <c r="V896" s="198" t="str">
        <f t="shared" si="133"/>
        <v/>
      </c>
      <c r="W896" s="339" t="str">
        <f t="shared" si="137"/>
        <v/>
      </c>
      <c r="X896" s="341" t="str">
        <f t="shared" si="138"/>
        <v/>
      </c>
      <c r="Y896" s="277"/>
      <c r="AR896" t="str">
        <f t="shared" si="139"/>
        <v/>
      </c>
      <c r="AS896" t="str">
        <f t="shared" si="140"/>
        <v/>
      </c>
    </row>
    <row r="897" spans="1:45">
      <c r="A897" s="294"/>
      <c r="B897" s="295"/>
      <c r="C897" s="296"/>
      <c r="D897" s="296"/>
      <c r="E897" s="296"/>
      <c r="F897" s="296"/>
      <c r="G897" s="297"/>
      <c r="H897" s="303"/>
      <c r="I897" s="298"/>
      <c r="J897" s="298"/>
      <c r="K897" s="299"/>
      <c r="L897" s="304"/>
      <c r="M897" s="300"/>
      <c r="N897" s="301"/>
      <c r="P897" s="193" t="str">
        <f>IF(R897 = "", "", COUNT(R$4:$R897))</f>
        <v/>
      </c>
      <c r="Q897" s="193" t="str">
        <f t="shared" si="131"/>
        <v/>
      </c>
      <c r="R897" s="194" t="str">
        <f t="shared" si="132"/>
        <v/>
      </c>
      <c r="S897" s="195" t="str">
        <f t="shared" si="134"/>
        <v/>
      </c>
      <c r="T897" s="196" t="str">
        <f t="shared" si="135"/>
        <v/>
      </c>
      <c r="U897" s="197" t="str">
        <f t="shared" si="136"/>
        <v/>
      </c>
      <c r="V897" s="198" t="str">
        <f t="shared" si="133"/>
        <v/>
      </c>
      <c r="W897" s="339" t="str">
        <f t="shared" si="137"/>
        <v/>
      </c>
      <c r="X897" s="341" t="str">
        <f t="shared" si="138"/>
        <v/>
      </c>
      <c r="Y897" s="277"/>
      <c r="AR897" t="str">
        <f t="shared" si="139"/>
        <v/>
      </c>
      <c r="AS897" t="str">
        <f t="shared" si="140"/>
        <v/>
      </c>
    </row>
    <row r="898" spans="1:45">
      <c r="A898" s="294"/>
      <c r="B898" s="295"/>
      <c r="C898" s="296"/>
      <c r="D898" s="296"/>
      <c r="E898" s="296"/>
      <c r="F898" s="296"/>
      <c r="G898" s="297"/>
      <c r="H898" s="303"/>
      <c r="I898" s="298"/>
      <c r="J898" s="298"/>
      <c r="K898" s="299"/>
      <c r="L898" s="304"/>
      <c r="M898" s="300"/>
      <c r="N898" s="301"/>
      <c r="P898" s="193" t="str">
        <f>IF(R898 = "", "", COUNT(R$4:$R898))</f>
        <v/>
      </c>
      <c r="Q898" s="193" t="str">
        <f t="shared" si="131"/>
        <v/>
      </c>
      <c r="R898" s="194" t="str">
        <f t="shared" si="132"/>
        <v/>
      </c>
      <c r="S898" s="195" t="str">
        <f t="shared" si="134"/>
        <v/>
      </c>
      <c r="T898" s="196" t="str">
        <f t="shared" si="135"/>
        <v/>
      </c>
      <c r="U898" s="197" t="str">
        <f t="shared" si="136"/>
        <v/>
      </c>
      <c r="V898" s="198" t="str">
        <f t="shared" si="133"/>
        <v/>
      </c>
      <c r="W898" s="339" t="str">
        <f t="shared" si="137"/>
        <v/>
      </c>
      <c r="X898" s="341" t="str">
        <f t="shared" si="138"/>
        <v/>
      </c>
      <c r="Y898" s="277"/>
      <c r="AR898" t="str">
        <f t="shared" si="139"/>
        <v/>
      </c>
      <c r="AS898" t="str">
        <f t="shared" si="140"/>
        <v/>
      </c>
    </row>
    <row r="899" spans="1:45">
      <c r="A899" s="294"/>
      <c r="B899" s="295"/>
      <c r="C899" s="296"/>
      <c r="D899" s="296"/>
      <c r="E899" s="296"/>
      <c r="F899" s="296"/>
      <c r="G899" s="297"/>
      <c r="H899" s="303"/>
      <c r="I899" s="298"/>
      <c r="J899" s="298"/>
      <c r="K899" s="299"/>
      <c r="L899" s="304"/>
      <c r="M899" s="300"/>
      <c r="N899" s="301"/>
      <c r="P899" s="193" t="str">
        <f>IF(R899 = "", "", COUNT(R$4:$R899))</f>
        <v/>
      </c>
      <c r="Q899" s="193" t="str">
        <f t="shared" si="131"/>
        <v/>
      </c>
      <c r="R899" s="194" t="str">
        <f t="shared" si="132"/>
        <v/>
      </c>
      <c r="S899" s="195" t="str">
        <f t="shared" si="134"/>
        <v/>
      </c>
      <c r="T899" s="196" t="str">
        <f t="shared" si="135"/>
        <v/>
      </c>
      <c r="U899" s="197" t="str">
        <f t="shared" si="136"/>
        <v/>
      </c>
      <c r="V899" s="198" t="str">
        <f t="shared" si="133"/>
        <v/>
      </c>
      <c r="W899" s="339" t="str">
        <f t="shared" si="137"/>
        <v/>
      </c>
      <c r="X899" s="341" t="str">
        <f t="shared" si="138"/>
        <v/>
      </c>
      <c r="Y899" s="277"/>
      <c r="AR899" t="str">
        <f t="shared" si="139"/>
        <v/>
      </c>
      <c r="AS899" t="str">
        <f t="shared" si="140"/>
        <v/>
      </c>
    </row>
    <row r="900" spans="1:45">
      <c r="A900" s="294"/>
      <c r="B900" s="295"/>
      <c r="C900" s="296"/>
      <c r="D900" s="296"/>
      <c r="E900" s="296"/>
      <c r="F900" s="296"/>
      <c r="G900" s="297"/>
      <c r="H900" s="303"/>
      <c r="I900" s="298"/>
      <c r="J900" s="298"/>
      <c r="K900" s="299"/>
      <c r="L900" s="304"/>
      <c r="M900" s="300"/>
      <c r="N900" s="301"/>
      <c r="P900" s="193" t="str">
        <f>IF(R900 = "", "", COUNT(R$4:$R900))</f>
        <v/>
      </c>
      <c r="Q900" s="193" t="str">
        <f t="shared" ref="Q900:Q963" si="141">IF(C900 &gt; 0, YEAR(B900), "")</f>
        <v/>
      </c>
      <c r="R900" s="194" t="str">
        <f t="shared" ref="R900:R963" si="142">IF(A900="", "", IF(G900="",1,IF(G900="O",1,IF(G900="C",8.4,IF(G900="B",8.4,IF(G900="A",76.8,IF(G900="K",76.8,"ERR")))))))</f>
        <v/>
      </c>
      <c r="S900" s="195" t="str">
        <f t="shared" si="134"/>
        <v/>
      </c>
      <c r="T900" s="196" t="str">
        <f t="shared" si="135"/>
        <v/>
      </c>
      <c r="U900" s="197" t="str">
        <f t="shared" si="136"/>
        <v/>
      </c>
      <c r="V900" s="198" t="str">
        <f t="shared" ref="V900:V963" si="143">IF(IF(M900&lt;&gt;"",G900,"")=0, "O", IF(M900&lt;&gt;"",G900,""))</f>
        <v/>
      </c>
      <c r="W900" s="339" t="str">
        <f t="shared" si="137"/>
        <v/>
      </c>
      <c r="X900" s="341" t="str">
        <f t="shared" si="138"/>
        <v/>
      </c>
      <c r="Y900" s="277"/>
      <c r="AR900" t="str">
        <f t="shared" si="139"/>
        <v/>
      </c>
      <c r="AS900" t="str">
        <f t="shared" si="140"/>
        <v/>
      </c>
    </row>
    <row r="901" spans="1:45">
      <c r="A901" s="294"/>
      <c r="B901" s="295"/>
      <c r="C901" s="296"/>
      <c r="D901" s="296"/>
      <c r="E901" s="296"/>
      <c r="F901" s="296"/>
      <c r="G901" s="297"/>
      <c r="H901" s="303"/>
      <c r="I901" s="298"/>
      <c r="J901" s="298"/>
      <c r="K901" s="299"/>
      <c r="L901" s="304"/>
      <c r="M901" s="300"/>
      <c r="N901" s="301"/>
      <c r="P901" s="193" t="str">
        <f>IF(R901 = "", "", COUNT(R$4:$R901))</f>
        <v/>
      </c>
      <c r="Q901" s="193" t="str">
        <f t="shared" si="141"/>
        <v/>
      </c>
      <c r="R901" s="194" t="str">
        <f t="shared" si="142"/>
        <v/>
      </c>
      <c r="S901" s="195" t="str">
        <f t="shared" ref="S901:S964" si="144">IF(L901&lt;&gt;"",R901,"")</f>
        <v/>
      </c>
      <c r="T901" s="196" t="str">
        <f t="shared" ref="T901:T964" si="145">IF(IF(L901&lt;&gt;"",G901,"")=0, "O", IF(L901&lt;&gt;"",G901,""))</f>
        <v/>
      </c>
      <c r="U901" s="197" t="str">
        <f t="shared" ref="U901:U964" si="146">IF(M901&lt;&gt;"",R901,"")</f>
        <v/>
      </c>
      <c r="V901" s="198" t="str">
        <f t="shared" si="143"/>
        <v/>
      </c>
      <c r="W901" s="339" t="str">
        <f t="shared" ref="W901:W964" si="147">IF(N901&lt;&gt;"",R901,"")</f>
        <v/>
      </c>
      <c r="X901" s="341" t="str">
        <f t="shared" ref="X901:X964" si="148">IF(IF(N901&lt;&gt;"",G901,"")=0, "O", IF(N901&lt;&gt;"",G901,""))</f>
        <v/>
      </c>
      <c r="Y901" s="277"/>
      <c r="AR901" t="str">
        <f t="shared" ref="AR901:AR964" si="149">IF(P901&gt;0, P901, "")</f>
        <v/>
      </c>
      <c r="AS901" t="str">
        <f t="shared" ref="AS901:AS964" si="150">IF(OR(L901="Y",M901="Y",N901="Y"),"Y","")</f>
        <v/>
      </c>
    </row>
    <row r="902" spans="1:45">
      <c r="A902" s="294"/>
      <c r="B902" s="295"/>
      <c r="C902" s="296"/>
      <c r="D902" s="296"/>
      <c r="E902" s="296"/>
      <c r="F902" s="296"/>
      <c r="G902" s="297"/>
      <c r="H902" s="303"/>
      <c r="I902" s="298"/>
      <c r="J902" s="298"/>
      <c r="K902" s="299"/>
      <c r="L902" s="304"/>
      <c r="M902" s="300"/>
      <c r="N902" s="301"/>
      <c r="P902" s="193" t="str">
        <f>IF(R902 = "", "", COUNT(R$4:$R902))</f>
        <v/>
      </c>
      <c r="Q902" s="193" t="str">
        <f t="shared" si="141"/>
        <v/>
      </c>
      <c r="R902" s="194" t="str">
        <f t="shared" si="142"/>
        <v/>
      </c>
      <c r="S902" s="195" t="str">
        <f t="shared" si="144"/>
        <v/>
      </c>
      <c r="T902" s="196" t="str">
        <f t="shared" si="145"/>
        <v/>
      </c>
      <c r="U902" s="197" t="str">
        <f t="shared" si="146"/>
        <v/>
      </c>
      <c r="V902" s="198" t="str">
        <f t="shared" si="143"/>
        <v/>
      </c>
      <c r="W902" s="339" t="str">
        <f t="shared" si="147"/>
        <v/>
      </c>
      <c r="X902" s="341" t="str">
        <f t="shared" si="148"/>
        <v/>
      </c>
      <c r="Y902" s="277"/>
      <c r="AR902" t="str">
        <f t="shared" si="149"/>
        <v/>
      </c>
      <c r="AS902" t="str">
        <f t="shared" si="150"/>
        <v/>
      </c>
    </row>
    <row r="903" spans="1:45">
      <c r="A903" s="294"/>
      <c r="B903" s="295"/>
      <c r="C903" s="296"/>
      <c r="D903" s="296"/>
      <c r="E903" s="296"/>
      <c r="F903" s="296"/>
      <c r="G903" s="297"/>
      <c r="H903" s="303"/>
      <c r="I903" s="298"/>
      <c r="J903" s="298"/>
      <c r="K903" s="299"/>
      <c r="L903" s="304"/>
      <c r="M903" s="300"/>
      <c r="N903" s="301"/>
      <c r="P903" s="193" t="str">
        <f>IF(R903 = "", "", COUNT(R$4:$R903))</f>
        <v/>
      </c>
      <c r="Q903" s="193" t="str">
        <f t="shared" si="141"/>
        <v/>
      </c>
      <c r="R903" s="194" t="str">
        <f t="shared" si="142"/>
        <v/>
      </c>
      <c r="S903" s="195" t="str">
        <f t="shared" si="144"/>
        <v/>
      </c>
      <c r="T903" s="196" t="str">
        <f t="shared" si="145"/>
        <v/>
      </c>
      <c r="U903" s="197" t="str">
        <f t="shared" si="146"/>
        <v/>
      </c>
      <c r="V903" s="198" t="str">
        <f t="shared" si="143"/>
        <v/>
      </c>
      <c r="W903" s="339" t="str">
        <f t="shared" si="147"/>
        <v/>
      </c>
      <c r="X903" s="341" t="str">
        <f t="shared" si="148"/>
        <v/>
      </c>
      <c r="Y903" s="277"/>
      <c r="AR903" t="str">
        <f t="shared" si="149"/>
        <v/>
      </c>
      <c r="AS903" t="str">
        <f t="shared" si="150"/>
        <v/>
      </c>
    </row>
    <row r="904" spans="1:45">
      <c r="A904" s="294"/>
      <c r="B904" s="295"/>
      <c r="C904" s="296"/>
      <c r="D904" s="296"/>
      <c r="E904" s="296"/>
      <c r="F904" s="296"/>
      <c r="G904" s="297"/>
      <c r="H904" s="303"/>
      <c r="I904" s="298"/>
      <c r="J904" s="298"/>
      <c r="K904" s="299"/>
      <c r="L904" s="304"/>
      <c r="M904" s="300"/>
      <c r="N904" s="301"/>
      <c r="P904" s="193" t="str">
        <f>IF(R904 = "", "", COUNT(R$4:$R904))</f>
        <v/>
      </c>
      <c r="Q904" s="193" t="str">
        <f t="shared" si="141"/>
        <v/>
      </c>
      <c r="R904" s="194" t="str">
        <f t="shared" si="142"/>
        <v/>
      </c>
      <c r="S904" s="195" t="str">
        <f t="shared" si="144"/>
        <v/>
      </c>
      <c r="T904" s="196" t="str">
        <f t="shared" si="145"/>
        <v/>
      </c>
      <c r="U904" s="197" t="str">
        <f t="shared" si="146"/>
        <v/>
      </c>
      <c r="V904" s="198" t="str">
        <f t="shared" si="143"/>
        <v/>
      </c>
      <c r="W904" s="339" t="str">
        <f t="shared" si="147"/>
        <v/>
      </c>
      <c r="X904" s="341" t="str">
        <f t="shared" si="148"/>
        <v/>
      </c>
      <c r="Y904" s="277"/>
      <c r="AR904" t="str">
        <f t="shared" si="149"/>
        <v/>
      </c>
      <c r="AS904" t="str">
        <f t="shared" si="150"/>
        <v/>
      </c>
    </row>
    <row r="905" spans="1:45">
      <c r="A905" s="294"/>
      <c r="B905" s="295"/>
      <c r="C905" s="296"/>
      <c r="D905" s="296"/>
      <c r="E905" s="296"/>
      <c r="F905" s="296"/>
      <c r="G905" s="297"/>
      <c r="H905" s="303"/>
      <c r="I905" s="298"/>
      <c r="J905" s="298"/>
      <c r="K905" s="299"/>
      <c r="L905" s="304"/>
      <c r="M905" s="300"/>
      <c r="N905" s="301"/>
      <c r="P905" s="193" t="str">
        <f>IF(R905 = "", "", COUNT(R$4:$R905))</f>
        <v/>
      </c>
      <c r="Q905" s="193" t="str">
        <f t="shared" si="141"/>
        <v/>
      </c>
      <c r="R905" s="194" t="str">
        <f t="shared" si="142"/>
        <v/>
      </c>
      <c r="S905" s="195" t="str">
        <f t="shared" si="144"/>
        <v/>
      </c>
      <c r="T905" s="196" t="str">
        <f t="shared" si="145"/>
        <v/>
      </c>
      <c r="U905" s="197" t="str">
        <f t="shared" si="146"/>
        <v/>
      </c>
      <c r="V905" s="198" t="str">
        <f t="shared" si="143"/>
        <v/>
      </c>
      <c r="W905" s="339" t="str">
        <f t="shared" si="147"/>
        <v/>
      </c>
      <c r="X905" s="341" t="str">
        <f t="shared" si="148"/>
        <v/>
      </c>
      <c r="Y905" s="277"/>
      <c r="AR905" t="str">
        <f t="shared" si="149"/>
        <v/>
      </c>
      <c r="AS905" t="str">
        <f t="shared" si="150"/>
        <v/>
      </c>
    </row>
    <row r="906" spans="1:45">
      <c r="A906" s="294"/>
      <c r="B906" s="295"/>
      <c r="C906" s="296"/>
      <c r="D906" s="296"/>
      <c r="E906" s="296"/>
      <c r="F906" s="296"/>
      <c r="G906" s="297"/>
      <c r="H906" s="303"/>
      <c r="I906" s="298"/>
      <c r="J906" s="298"/>
      <c r="K906" s="299"/>
      <c r="L906" s="304"/>
      <c r="M906" s="300"/>
      <c r="N906" s="301"/>
      <c r="P906" s="193" t="str">
        <f>IF(R906 = "", "", COUNT(R$4:$R906))</f>
        <v/>
      </c>
      <c r="Q906" s="193" t="str">
        <f t="shared" si="141"/>
        <v/>
      </c>
      <c r="R906" s="194" t="str">
        <f t="shared" si="142"/>
        <v/>
      </c>
      <c r="S906" s="195" t="str">
        <f t="shared" si="144"/>
        <v/>
      </c>
      <c r="T906" s="196" t="str">
        <f t="shared" si="145"/>
        <v/>
      </c>
      <c r="U906" s="197" t="str">
        <f t="shared" si="146"/>
        <v/>
      </c>
      <c r="V906" s="198" t="str">
        <f t="shared" si="143"/>
        <v/>
      </c>
      <c r="W906" s="339" t="str">
        <f t="shared" si="147"/>
        <v/>
      </c>
      <c r="X906" s="341" t="str">
        <f t="shared" si="148"/>
        <v/>
      </c>
      <c r="Y906" s="277"/>
      <c r="AR906" t="str">
        <f t="shared" si="149"/>
        <v/>
      </c>
      <c r="AS906" t="str">
        <f t="shared" si="150"/>
        <v/>
      </c>
    </row>
    <row r="907" spans="1:45">
      <c r="A907" s="294"/>
      <c r="B907" s="295"/>
      <c r="C907" s="296"/>
      <c r="D907" s="296"/>
      <c r="E907" s="296"/>
      <c r="F907" s="296"/>
      <c r="G907" s="297"/>
      <c r="H907" s="303"/>
      <c r="I907" s="298"/>
      <c r="J907" s="298"/>
      <c r="K907" s="299"/>
      <c r="L907" s="304"/>
      <c r="M907" s="300"/>
      <c r="N907" s="301"/>
      <c r="P907" s="193" t="str">
        <f>IF(R907 = "", "", COUNT(R$4:$R907))</f>
        <v/>
      </c>
      <c r="Q907" s="193" t="str">
        <f t="shared" si="141"/>
        <v/>
      </c>
      <c r="R907" s="194" t="str">
        <f t="shared" si="142"/>
        <v/>
      </c>
      <c r="S907" s="195" t="str">
        <f t="shared" si="144"/>
        <v/>
      </c>
      <c r="T907" s="196" t="str">
        <f t="shared" si="145"/>
        <v/>
      </c>
      <c r="U907" s="197" t="str">
        <f t="shared" si="146"/>
        <v/>
      </c>
      <c r="V907" s="198" t="str">
        <f t="shared" si="143"/>
        <v/>
      </c>
      <c r="W907" s="339" t="str">
        <f t="shared" si="147"/>
        <v/>
      </c>
      <c r="X907" s="341" t="str">
        <f t="shared" si="148"/>
        <v/>
      </c>
      <c r="Y907" s="277"/>
      <c r="AR907" t="str">
        <f t="shared" si="149"/>
        <v/>
      </c>
      <c r="AS907" t="str">
        <f t="shared" si="150"/>
        <v/>
      </c>
    </row>
    <row r="908" spans="1:45">
      <c r="A908" s="294"/>
      <c r="B908" s="295"/>
      <c r="C908" s="296"/>
      <c r="D908" s="296"/>
      <c r="E908" s="296"/>
      <c r="F908" s="296"/>
      <c r="G908" s="297"/>
      <c r="H908" s="303"/>
      <c r="I908" s="298"/>
      <c r="J908" s="298"/>
      <c r="K908" s="299"/>
      <c r="L908" s="304"/>
      <c r="M908" s="300"/>
      <c r="N908" s="301"/>
      <c r="P908" s="193" t="str">
        <f>IF(R908 = "", "", COUNT(R$4:$R908))</f>
        <v/>
      </c>
      <c r="Q908" s="193" t="str">
        <f t="shared" si="141"/>
        <v/>
      </c>
      <c r="R908" s="194" t="str">
        <f t="shared" si="142"/>
        <v/>
      </c>
      <c r="S908" s="195" t="str">
        <f t="shared" si="144"/>
        <v/>
      </c>
      <c r="T908" s="196" t="str">
        <f t="shared" si="145"/>
        <v/>
      </c>
      <c r="U908" s="197" t="str">
        <f t="shared" si="146"/>
        <v/>
      </c>
      <c r="V908" s="198" t="str">
        <f t="shared" si="143"/>
        <v/>
      </c>
      <c r="W908" s="339" t="str">
        <f t="shared" si="147"/>
        <v/>
      </c>
      <c r="X908" s="341" t="str">
        <f t="shared" si="148"/>
        <v/>
      </c>
      <c r="Y908" s="277"/>
      <c r="AR908" t="str">
        <f t="shared" si="149"/>
        <v/>
      </c>
      <c r="AS908" t="str">
        <f t="shared" si="150"/>
        <v/>
      </c>
    </row>
    <row r="909" spans="1:45">
      <c r="A909" s="294"/>
      <c r="B909" s="295"/>
      <c r="C909" s="296"/>
      <c r="D909" s="296"/>
      <c r="E909" s="296"/>
      <c r="F909" s="296"/>
      <c r="G909" s="297"/>
      <c r="H909" s="303"/>
      <c r="I909" s="298"/>
      <c r="J909" s="298"/>
      <c r="K909" s="299"/>
      <c r="L909" s="304"/>
      <c r="M909" s="300"/>
      <c r="N909" s="301"/>
      <c r="P909" s="193" t="str">
        <f>IF(R909 = "", "", COUNT(R$4:$R909))</f>
        <v/>
      </c>
      <c r="Q909" s="193" t="str">
        <f t="shared" si="141"/>
        <v/>
      </c>
      <c r="R909" s="194" t="str">
        <f t="shared" si="142"/>
        <v/>
      </c>
      <c r="S909" s="195" t="str">
        <f t="shared" si="144"/>
        <v/>
      </c>
      <c r="T909" s="196" t="str">
        <f t="shared" si="145"/>
        <v/>
      </c>
      <c r="U909" s="197" t="str">
        <f t="shared" si="146"/>
        <v/>
      </c>
      <c r="V909" s="198" t="str">
        <f t="shared" si="143"/>
        <v/>
      </c>
      <c r="W909" s="339" t="str">
        <f t="shared" si="147"/>
        <v/>
      </c>
      <c r="X909" s="341" t="str">
        <f t="shared" si="148"/>
        <v/>
      </c>
      <c r="Y909" s="277"/>
      <c r="AR909" t="str">
        <f t="shared" si="149"/>
        <v/>
      </c>
      <c r="AS909" t="str">
        <f t="shared" si="150"/>
        <v/>
      </c>
    </row>
    <row r="910" spans="1:45">
      <c r="A910" s="294"/>
      <c r="B910" s="295"/>
      <c r="C910" s="296"/>
      <c r="D910" s="296"/>
      <c r="E910" s="296"/>
      <c r="F910" s="296"/>
      <c r="G910" s="297"/>
      <c r="H910" s="303"/>
      <c r="I910" s="298"/>
      <c r="J910" s="298"/>
      <c r="K910" s="299"/>
      <c r="L910" s="304"/>
      <c r="M910" s="300"/>
      <c r="N910" s="301"/>
      <c r="P910" s="193" t="str">
        <f>IF(R910 = "", "", COUNT(R$4:$R910))</f>
        <v/>
      </c>
      <c r="Q910" s="193" t="str">
        <f t="shared" si="141"/>
        <v/>
      </c>
      <c r="R910" s="194" t="str">
        <f t="shared" si="142"/>
        <v/>
      </c>
      <c r="S910" s="195" t="str">
        <f t="shared" si="144"/>
        <v/>
      </c>
      <c r="T910" s="196" t="str">
        <f t="shared" si="145"/>
        <v/>
      </c>
      <c r="U910" s="197" t="str">
        <f t="shared" si="146"/>
        <v/>
      </c>
      <c r="V910" s="198" t="str">
        <f t="shared" si="143"/>
        <v/>
      </c>
      <c r="W910" s="339" t="str">
        <f t="shared" si="147"/>
        <v/>
      </c>
      <c r="X910" s="341" t="str">
        <f t="shared" si="148"/>
        <v/>
      </c>
      <c r="Y910" s="277"/>
      <c r="AR910" t="str">
        <f t="shared" si="149"/>
        <v/>
      </c>
      <c r="AS910" t="str">
        <f t="shared" si="150"/>
        <v/>
      </c>
    </row>
    <row r="911" spans="1:45">
      <c r="A911" s="294"/>
      <c r="B911" s="295"/>
      <c r="C911" s="296"/>
      <c r="D911" s="296"/>
      <c r="E911" s="296"/>
      <c r="F911" s="296"/>
      <c r="G911" s="297"/>
      <c r="H911" s="303"/>
      <c r="I911" s="298"/>
      <c r="J911" s="298"/>
      <c r="K911" s="299"/>
      <c r="L911" s="304"/>
      <c r="M911" s="300"/>
      <c r="N911" s="301"/>
      <c r="P911" s="193" t="str">
        <f>IF(R911 = "", "", COUNT(R$4:$R911))</f>
        <v/>
      </c>
      <c r="Q911" s="193" t="str">
        <f t="shared" si="141"/>
        <v/>
      </c>
      <c r="R911" s="194" t="str">
        <f t="shared" si="142"/>
        <v/>
      </c>
      <c r="S911" s="195" t="str">
        <f t="shared" si="144"/>
        <v/>
      </c>
      <c r="T911" s="196" t="str">
        <f t="shared" si="145"/>
        <v/>
      </c>
      <c r="U911" s="197" t="str">
        <f t="shared" si="146"/>
        <v/>
      </c>
      <c r="V911" s="198" t="str">
        <f t="shared" si="143"/>
        <v/>
      </c>
      <c r="W911" s="339" t="str">
        <f t="shared" si="147"/>
        <v/>
      </c>
      <c r="X911" s="341" t="str">
        <f t="shared" si="148"/>
        <v/>
      </c>
      <c r="Y911" s="277"/>
      <c r="AR911" t="str">
        <f t="shared" si="149"/>
        <v/>
      </c>
      <c r="AS911" t="str">
        <f t="shared" si="150"/>
        <v/>
      </c>
    </row>
    <row r="912" spans="1:45">
      <c r="A912" s="294"/>
      <c r="B912" s="295"/>
      <c r="C912" s="296"/>
      <c r="D912" s="296"/>
      <c r="E912" s="296"/>
      <c r="F912" s="296"/>
      <c r="G912" s="297"/>
      <c r="H912" s="303"/>
      <c r="I912" s="298"/>
      <c r="J912" s="298"/>
      <c r="K912" s="299"/>
      <c r="L912" s="304"/>
      <c r="M912" s="300"/>
      <c r="N912" s="301"/>
      <c r="P912" s="193" t="str">
        <f>IF(R912 = "", "", COUNT(R$4:$R912))</f>
        <v/>
      </c>
      <c r="Q912" s="193" t="str">
        <f t="shared" si="141"/>
        <v/>
      </c>
      <c r="R912" s="194" t="str">
        <f t="shared" si="142"/>
        <v/>
      </c>
      <c r="S912" s="195" t="str">
        <f t="shared" si="144"/>
        <v/>
      </c>
      <c r="T912" s="196" t="str">
        <f t="shared" si="145"/>
        <v/>
      </c>
      <c r="U912" s="197" t="str">
        <f t="shared" si="146"/>
        <v/>
      </c>
      <c r="V912" s="198" t="str">
        <f t="shared" si="143"/>
        <v/>
      </c>
      <c r="W912" s="339" t="str">
        <f t="shared" si="147"/>
        <v/>
      </c>
      <c r="X912" s="341" t="str">
        <f t="shared" si="148"/>
        <v/>
      </c>
      <c r="Y912" s="277"/>
      <c r="AR912" t="str">
        <f t="shared" si="149"/>
        <v/>
      </c>
      <c r="AS912" t="str">
        <f t="shared" si="150"/>
        <v/>
      </c>
    </row>
    <row r="913" spans="1:45">
      <c r="A913" s="294"/>
      <c r="B913" s="295"/>
      <c r="C913" s="296"/>
      <c r="D913" s="296"/>
      <c r="E913" s="296"/>
      <c r="F913" s="296"/>
      <c r="G913" s="297"/>
      <c r="H913" s="303"/>
      <c r="I913" s="298"/>
      <c r="J913" s="298"/>
      <c r="K913" s="299"/>
      <c r="L913" s="304"/>
      <c r="M913" s="300"/>
      <c r="N913" s="301"/>
      <c r="P913" s="193" t="str">
        <f>IF(R913 = "", "", COUNT(R$4:$R913))</f>
        <v/>
      </c>
      <c r="Q913" s="193" t="str">
        <f t="shared" si="141"/>
        <v/>
      </c>
      <c r="R913" s="194" t="str">
        <f t="shared" si="142"/>
        <v/>
      </c>
      <c r="S913" s="195" t="str">
        <f t="shared" si="144"/>
        <v/>
      </c>
      <c r="T913" s="196" t="str">
        <f t="shared" si="145"/>
        <v/>
      </c>
      <c r="U913" s="197" t="str">
        <f t="shared" si="146"/>
        <v/>
      </c>
      <c r="V913" s="198" t="str">
        <f t="shared" si="143"/>
        <v/>
      </c>
      <c r="W913" s="339" t="str">
        <f t="shared" si="147"/>
        <v/>
      </c>
      <c r="X913" s="341" t="str">
        <f t="shared" si="148"/>
        <v/>
      </c>
      <c r="Y913" s="277"/>
      <c r="AR913" t="str">
        <f t="shared" si="149"/>
        <v/>
      </c>
      <c r="AS913" t="str">
        <f t="shared" si="150"/>
        <v/>
      </c>
    </row>
    <row r="914" spans="1:45">
      <c r="A914" s="294"/>
      <c r="B914" s="295"/>
      <c r="C914" s="296"/>
      <c r="D914" s="296"/>
      <c r="E914" s="296"/>
      <c r="F914" s="296"/>
      <c r="G914" s="297"/>
      <c r="H914" s="303"/>
      <c r="I914" s="298"/>
      <c r="J914" s="298"/>
      <c r="K914" s="299"/>
      <c r="L914" s="304"/>
      <c r="M914" s="300"/>
      <c r="N914" s="301"/>
      <c r="P914" s="193" t="str">
        <f>IF(R914 = "", "", COUNT(R$4:$R914))</f>
        <v/>
      </c>
      <c r="Q914" s="193" t="str">
        <f t="shared" si="141"/>
        <v/>
      </c>
      <c r="R914" s="194" t="str">
        <f t="shared" si="142"/>
        <v/>
      </c>
      <c r="S914" s="195" t="str">
        <f t="shared" si="144"/>
        <v/>
      </c>
      <c r="T914" s="196" t="str">
        <f t="shared" si="145"/>
        <v/>
      </c>
      <c r="U914" s="197" t="str">
        <f t="shared" si="146"/>
        <v/>
      </c>
      <c r="V914" s="198" t="str">
        <f t="shared" si="143"/>
        <v/>
      </c>
      <c r="W914" s="339" t="str">
        <f t="shared" si="147"/>
        <v/>
      </c>
      <c r="X914" s="341" t="str">
        <f t="shared" si="148"/>
        <v/>
      </c>
      <c r="Y914" s="277"/>
      <c r="AR914" t="str">
        <f t="shared" si="149"/>
        <v/>
      </c>
      <c r="AS914" t="str">
        <f t="shared" si="150"/>
        <v/>
      </c>
    </row>
    <row r="915" spans="1:45">
      <c r="A915" s="294"/>
      <c r="B915" s="295"/>
      <c r="C915" s="296"/>
      <c r="D915" s="296"/>
      <c r="E915" s="296"/>
      <c r="F915" s="296"/>
      <c r="G915" s="297"/>
      <c r="H915" s="303"/>
      <c r="I915" s="298"/>
      <c r="J915" s="298"/>
      <c r="K915" s="299"/>
      <c r="L915" s="304"/>
      <c r="M915" s="300"/>
      <c r="N915" s="301"/>
      <c r="P915" s="193" t="str">
        <f>IF(R915 = "", "", COUNT(R$4:$R915))</f>
        <v/>
      </c>
      <c r="Q915" s="193" t="str">
        <f t="shared" si="141"/>
        <v/>
      </c>
      <c r="R915" s="194" t="str">
        <f t="shared" si="142"/>
        <v/>
      </c>
      <c r="S915" s="195" t="str">
        <f t="shared" si="144"/>
        <v/>
      </c>
      <c r="T915" s="196" t="str">
        <f t="shared" si="145"/>
        <v/>
      </c>
      <c r="U915" s="197" t="str">
        <f t="shared" si="146"/>
        <v/>
      </c>
      <c r="V915" s="198" t="str">
        <f t="shared" si="143"/>
        <v/>
      </c>
      <c r="W915" s="339" t="str">
        <f t="shared" si="147"/>
        <v/>
      </c>
      <c r="X915" s="341" t="str">
        <f t="shared" si="148"/>
        <v/>
      </c>
      <c r="Y915" s="277"/>
      <c r="AR915" t="str">
        <f t="shared" si="149"/>
        <v/>
      </c>
      <c r="AS915" t="str">
        <f t="shared" si="150"/>
        <v/>
      </c>
    </row>
    <row r="916" spans="1:45">
      <c r="A916" s="294"/>
      <c r="B916" s="295"/>
      <c r="C916" s="296"/>
      <c r="D916" s="296"/>
      <c r="E916" s="296"/>
      <c r="F916" s="296"/>
      <c r="G916" s="297"/>
      <c r="H916" s="303"/>
      <c r="I916" s="298"/>
      <c r="J916" s="298"/>
      <c r="K916" s="299"/>
      <c r="L916" s="304"/>
      <c r="M916" s="300"/>
      <c r="N916" s="301"/>
      <c r="P916" s="193" t="str">
        <f>IF(R916 = "", "", COUNT(R$4:$R916))</f>
        <v/>
      </c>
      <c r="Q916" s="193" t="str">
        <f t="shared" si="141"/>
        <v/>
      </c>
      <c r="R916" s="194" t="str">
        <f t="shared" si="142"/>
        <v/>
      </c>
      <c r="S916" s="195" t="str">
        <f t="shared" si="144"/>
        <v/>
      </c>
      <c r="T916" s="196" t="str">
        <f t="shared" si="145"/>
        <v/>
      </c>
      <c r="U916" s="197" t="str">
        <f t="shared" si="146"/>
        <v/>
      </c>
      <c r="V916" s="198" t="str">
        <f t="shared" si="143"/>
        <v/>
      </c>
      <c r="W916" s="339" t="str">
        <f t="shared" si="147"/>
        <v/>
      </c>
      <c r="X916" s="341" t="str">
        <f t="shared" si="148"/>
        <v/>
      </c>
      <c r="Y916" s="277"/>
      <c r="AR916" t="str">
        <f t="shared" si="149"/>
        <v/>
      </c>
      <c r="AS916" t="str">
        <f t="shared" si="150"/>
        <v/>
      </c>
    </row>
    <row r="917" spans="1:45">
      <c r="A917" s="294"/>
      <c r="B917" s="295"/>
      <c r="C917" s="296"/>
      <c r="D917" s="296"/>
      <c r="E917" s="296"/>
      <c r="F917" s="296"/>
      <c r="G917" s="297"/>
      <c r="H917" s="303"/>
      <c r="I917" s="298"/>
      <c r="J917" s="298"/>
      <c r="K917" s="299"/>
      <c r="L917" s="304"/>
      <c r="M917" s="300"/>
      <c r="N917" s="301"/>
      <c r="P917" s="193" t="str">
        <f>IF(R917 = "", "", COUNT(R$4:$R917))</f>
        <v/>
      </c>
      <c r="Q917" s="193" t="str">
        <f t="shared" si="141"/>
        <v/>
      </c>
      <c r="R917" s="194" t="str">
        <f t="shared" si="142"/>
        <v/>
      </c>
      <c r="S917" s="195" t="str">
        <f t="shared" si="144"/>
        <v/>
      </c>
      <c r="T917" s="196" t="str">
        <f t="shared" si="145"/>
        <v/>
      </c>
      <c r="U917" s="197" t="str">
        <f t="shared" si="146"/>
        <v/>
      </c>
      <c r="V917" s="198" t="str">
        <f t="shared" si="143"/>
        <v/>
      </c>
      <c r="W917" s="339" t="str">
        <f t="shared" si="147"/>
        <v/>
      </c>
      <c r="X917" s="341" t="str">
        <f t="shared" si="148"/>
        <v/>
      </c>
      <c r="Y917" s="277"/>
      <c r="AR917" t="str">
        <f t="shared" si="149"/>
        <v/>
      </c>
      <c r="AS917" t="str">
        <f t="shared" si="150"/>
        <v/>
      </c>
    </row>
    <row r="918" spans="1:45">
      <c r="A918" s="294"/>
      <c r="B918" s="295"/>
      <c r="C918" s="296"/>
      <c r="D918" s="296"/>
      <c r="E918" s="296"/>
      <c r="F918" s="296"/>
      <c r="G918" s="297"/>
      <c r="H918" s="303"/>
      <c r="I918" s="298"/>
      <c r="J918" s="298"/>
      <c r="K918" s="299"/>
      <c r="L918" s="304"/>
      <c r="M918" s="300"/>
      <c r="N918" s="301"/>
      <c r="P918" s="193" t="str">
        <f>IF(R918 = "", "", COUNT(R$4:$R918))</f>
        <v/>
      </c>
      <c r="Q918" s="193" t="str">
        <f t="shared" si="141"/>
        <v/>
      </c>
      <c r="R918" s="194" t="str">
        <f t="shared" si="142"/>
        <v/>
      </c>
      <c r="S918" s="195" t="str">
        <f t="shared" si="144"/>
        <v/>
      </c>
      <c r="T918" s="196" t="str">
        <f t="shared" si="145"/>
        <v/>
      </c>
      <c r="U918" s="197" t="str">
        <f t="shared" si="146"/>
        <v/>
      </c>
      <c r="V918" s="198" t="str">
        <f t="shared" si="143"/>
        <v/>
      </c>
      <c r="W918" s="339" t="str">
        <f t="shared" si="147"/>
        <v/>
      </c>
      <c r="X918" s="341" t="str">
        <f t="shared" si="148"/>
        <v/>
      </c>
      <c r="Y918" s="277"/>
      <c r="AR918" t="str">
        <f t="shared" si="149"/>
        <v/>
      </c>
      <c r="AS918" t="str">
        <f t="shared" si="150"/>
        <v/>
      </c>
    </row>
    <row r="919" spans="1:45">
      <c r="A919" s="294"/>
      <c r="B919" s="295"/>
      <c r="C919" s="296"/>
      <c r="D919" s="296"/>
      <c r="E919" s="296"/>
      <c r="F919" s="296"/>
      <c r="G919" s="297"/>
      <c r="H919" s="303"/>
      <c r="I919" s="298"/>
      <c r="J919" s="298"/>
      <c r="K919" s="299"/>
      <c r="L919" s="304"/>
      <c r="M919" s="300"/>
      <c r="N919" s="301"/>
      <c r="P919" s="193" t="str">
        <f>IF(R919 = "", "", COUNT(R$4:$R919))</f>
        <v/>
      </c>
      <c r="Q919" s="193" t="str">
        <f t="shared" si="141"/>
        <v/>
      </c>
      <c r="R919" s="194" t="str">
        <f t="shared" si="142"/>
        <v/>
      </c>
      <c r="S919" s="195" t="str">
        <f t="shared" si="144"/>
        <v/>
      </c>
      <c r="T919" s="196" t="str">
        <f t="shared" si="145"/>
        <v/>
      </c>
      <c r="U919" s="197" t="str">
        <f t="shared" si="146"/>
        <v/>
      </c>
      <c r="V919" s="198" t="str">
        <f t="shared" si="143"/>
        <v/>
      </c>
      <c r="W919" s="339" t="str">
        <f t="shared" si="147"/>
        <v/>
      </c>
      <c r="X919" s="341" t="str">
        <f t="shared" si="148"/>
        <v/>
      </c>
      <c r="Y919" s="277"/>
      <c r="AR919" t="str">
        <f t="shared" si="149"/>
        <v/>
      </c>
      <c r="AS919" t="str">
        <f t="shared" si="150"/>
        <v/>
      </c>
    </row>
    <row r="920" spans="1:45">
      <c r="A920" s="294"/>
      <c r="B920" s="295"/>
      <c r="C920" s="296"/>
      <c r="D920" s="296"/>
      <c r="E920" s="296"/>
      <c r="F920" s="296"/>
      <c r="G920" s="297"/>
      <c r="H920" s="303"/>
      <c r="I920" s="298"/>
      <c r="J920" s="298"/>
      <c r="K920" s="299"/>
      <c r="L920" s="304"/>
      <c r="M920" s="300"/>
      <c r="N920" s="301"/>
      <c r="P920" s="193" t="str">
        <f>IF(R920 = "", "", COUNT(R$4:$R920))</f>
        <v/>
      </c>
      <c r="Q920" s="193" t="str">
        <f t="shared" si="141"/>
        <v/>
      </c>
      <c r="R920" s="194" t="str">
        <f t="shared" si="142"/>
        <v/>
      </c>
      <c r="S920" s="195" t="str">
        <f t="shared" si="144"/>
        <v/>
      </c>
      <c r="T920" s="196" t="str">
        <f t="shared" si="145"/>
        <v/>
      </c>
      <c r="U920" s="197" t="str">
        <f t="shared" si="146"/>
        <v/>
      </c>
      <c r="V920" s="198" t="str">
        <f t="shared" si="143"/>
        <v/>
      </c>
      <c r="W920" s="339" t="str">
        <f t="shared" si="147"/>
        <v/>
      </c>
      <c r="X920" s="341" t="str">
        <f t="shared" si="148"/>
        <v/>
      </c>
      <c r="Y920" s="277"/>
      <c r="AR920" t="str">
        <f t="shared" si="149"/>
        <v/>
      </c>
      <c r="AS920" t="str">
        <f t="shared" si="150"/>
        <v/>
      </c>
    </row>
    <row r="921" spans="1:45">
      <c r="A921" s="294"/>
      <c r="B921" s="295"/>
      <c r="C921" s="296"/>
      <c r="D921" s="296"/>
      <c r="E921" s="296"/>
      <c r="F921" s="296"/>
      <c r="G921" s="297"/>
      <c r="H921" s="303"/>
      <c r="I921" s="298"/>
      <c r="J921" s="298"/>
      <c r="K921" s="299"/>
      <c r="L921" s="304"/>
      <c r="M921" s="300"/>
      <c r="N921" s="301"/>
      <c r="P921" s="193" t="str">
        <f>IF(R921 = "", "", COUNT(R$4:$R921))</f>
        <v/>
      </c>
      <c r="Q921" s="193" t="str">
        <f t="shared" si="141"/>
        <v/>
      </c>
      <c r="R921" s="194" t="str">
        <f t="shared" si="142"/>
        <v/>
      </c>
      <c r="S921" s="195" t="str">
        <f t="shared" si="144"/>
        <v/>
      </c>
      <c r="T921" s="196" t="str">
        <f t="shared" si="145"/>
        <v/>
      </c>
      <c r="U921" s="197" t="str">
        <f t="shared" si="146"/>
        <v/>
      </c>
      <c r="V921" s="198" t="str">
        <f t="shared" si="143"/>
        <v/>
      </c>
      <c r="W921" s="339" t="str">
        <f t="shared" si="147"/>
        <v/>
      </c>
      <c r="X921" s="341" t="str">
        <f t="shared" si="148"/>
        <v/>
      </c>
      <c r="Y921" s="277"/>
      <c r="AR921" t="str">
        <f t="shared" si="149"/>
        <v/>
      </c>
      <c r="AS921" t="str">
        <f t="shared" si="150"/>
        <v/>
      </c>
    </row>
    <row r="922" spans="1:45">
      <c r="A922" s="294"/>
      <c r="B922" s="295"/>
      <c r="C922" s="296"/>
      <c r="D922" s="296"/>
      <c r="E922" s="296"/>
      <c r="F922" s="296"/>
      <c r="G922" s="297"/>
      <c r="H922" s="303"/>
      <c r="I922" s="298"/>
      <c r="J922" s="298"/>
      <c r="K922" s="299"/>
      <c r="L922" s="304"/>
      <c r="M922" s="300"/>
      <c r="N922" s="301"/>
      <c r="P922" s="193" t="str">
        <f>IF(R922 = "", "", COUNT(R$4:$R922))</f>
        <v/>
      </c>
      <c r="Q922" s="193" t="str">
        <f t="shared" si="141"/>
        <v/>
      </c>
      <c r="R922" s="194" t="str">
        <f t="shared" si="142"/>
        <v/>
      </c>
      <c r="S922" s="195" t="str">
        <f t="shared" si="144"/>
        <v/>
      </c>
      <c r="T922" s="196" t="str">
        <f t="shared" si="145"/>
        <v/>
      </c>
      <c r="U922" s="197" t="str">
        <f t="shared" si="146"/>
        <v/>
      </c>
      <c r="V922" s="198" t="str">
        <f t="shared" si="143"/>
        <v/>
      </c>
      <c r="W922" s="339" t="str">
        <f t="shared" si="147"/>
        <v/>
      </c>
      <c r="X922" s="341" t="str">
        <f t="shared" si="148"/>
        <v/>
      </c>
      <c r="Y922" s="277"/>
      <c r="AR922" t="str">
        <f t="shared" si="149"/>
        <v/>
      </c>
      <c r="AS922" t="str">
        <f t="shared" si="150"/>
        <v/>
      </c>
    </row>
    <row r="923" spans="1:45">
      <c r="A923" s="294"/>
      <c r="B923" s="295"/>
      <c r="C923" s="296"/>
      <c r="D923" s="296"/>
      <c r="E923" s="296"/>
      <c r="F923" s="296"/>
      <c r="G923" s="297"/>
      <c r="H923" s="303"/>
      <c r="I923" s="298"/>
      <c r="J923" s="298"/>
      <c r="K923" s="299"/>
      <c r="L923" s="304"/>
      <c r="M923" s="300"/>
      <c r="N923" s="301"/>
      <c r="P923" s="193" t="str">
        <f>IF(R923 = "", "", COUNT(R$4:$R923))</f>
        <v/>
      </c>
      <c r="Q923" s="193" t="str">
        <f t="shared" si="141"/>
        <v/>
      </c>
      <c r="R923" s="194" t="str">
        <f t="shared" si="142"/>
        <v/>
      </c>
      <c r="S923" s="195" t="str">
        <f t="shared" si="144"/>
        <v/>
      </c>
      <c r="T923" s="196" t="str">
        <f t="shared" si="145"/>
        <v/>
      </c>
      <c r="U923" s="197" t="str">
        <f t="shared" si="146"/>
        <v/>
      </c>
      <c r="V923" s="198" t="str">
        <f t="shared" si="143"/>
        <v/>
      </c>
      <c r="W923" s="339" t="str">
        <f t="shared" si="147"/>
        <v/>
      </c>
      <c r="X923" s="341" t="str">
        <f t="shared" si="148"/>
        <v/>
      </c>
      <c r="Y923" s="277"/>
      <c r="AR923" t="str">
        <f t="shared" si="149"/>
        <v/>
      </c>
      <c r="AS923" t="str">
        <f t="shared" si="150"/>
        <v/>
      </c>
    </row>
    <row r="924" spans="1:45">
      <c r="A924" s="294"/>
      <c r="B924" s="295"/>
      <c r="C924" s="296"/>
      <c r="D924" s="296"/>
      <c r="E924" s="296"/>
      <c r="F924" s="296"/>
      <c r="G924" s="297"/>
      <c r="H924" s="303"/>
      <c r="I924" s="298"/>
      <c r="J924" s="298"/>
      <c r="K924" s="299"/>
      <c r="L924" s="304"/>
      <c r="M924" s="300"/>
      <c r="N924" s="301"/>
      <c r="P924" s="193" t="str">
        <f>IF(R924 = "", "", COUNT(R$4:$R924))</f>
        <v/>
      </c>
      <c r="Q924" s="193" t="str">
        <f t="shared" si="141"/>
        <v/>
      </c>
      <c r="R924" s="194" t="str">
        <f t="shared" si="142"/>
        <v/>
      </c>
      <c r="S924" s="195" t="str">
        <f t="shared" si="144"/>
        <v/>
      </c>
      <c r="T924" s="196" t="str">
        <f t="shared" si="145"/>
        <v/>
      </c>
      <c r="U924" s="197" t="str">
        <f t="shared" si="146"/>
        <v/>
      </c>
      <c r="V924" s="198" t="str">
        <f t="shared" si="143"/>
        <v/>
      </c>
      <c r="W924" s="339" t="str">
        <f t="shared" si="147"/>
        <v/>
      </c>
      <c r="X924" s="341" t="str">
        <f t="shared" si="148"/>
        <v/>
      </c>
      <c r="Y924" s="277"/>
      <c r="AR924" t="str">
        <f t="shared" si="149"/>
        <v/>
      </c>
      <c r="AS924" t="str">
        <f t="shared" si="150"/>
        <v/>
      </c>
    </row>
    <row r="925" spans="1:45">
      <c r="A925" s="294"/>
      <c r="B925" s="295"/>
      <c r="C925" s="296"/>
      <c r="D925" s="296"/>
      <c r="E925" s="296"/>
      <c r="F925" s="296"/>
      <c r="G925" s="297"/>
      <c r="H925" s="303"/>
      <c r="I925" s="298"/>
      <c r="J925" s="298"/>
      <c r="K925" s="299"/>
      <c r="L925" s="304"/>
      <c r="M925" s="300"/>
      <c r="N925" s="301"/>
      <c r="P925" s="193" t="str">
        <f>IF(R925 = "", "", COUNT(R$4:$R925))</f>
        <v/>
      </c>
      <c r="Q925" s="193" t="str">
        <f t="shared" si="141"/>
        <v/>
      </c>
      <c r="R925" s="194" t="str">
        <f t="shared" si="142"/>
        <v/>
      </c>
      <c r="S925" s="195" t="str">
        <f t="shared" si="144"/>
        <v/>
      </c>
      <c r="T925" s="196" t="str">
        <f t="shared" si="145"/>
        <v/>
      </c>
      <c r="U925" s="197" t="str">
        <f t="shared" si="146"/>
        <v/>
      </c>
      <c r="V925" s="198" t="str">
        <f t="shared" si="143"/>
        <v/>
      </c>
      <c r="W925" s="339" t="str">
        <f t="shared" si="147"/>
        <v/>
      </c>
      <c r="X925" s="341" t="str">
        <f t="shared" si="148"/>
        <v/>
      </c>
      <c r="Y925" s="277"/>
      <c r="AR925" t="str">
        <f t="shared" si="149"/>
        <v/>
      </c>
      <c r="AS925" t="str">
        <f t="shared" si="150"/>
        <v/>
      </c>
    </row>
    <row r="926" spans="1:45">
      <c r="A926" s="294"/>
      <c r="B926" s="295"/>
      <c r="C926" s="296"/>
      <c r="D926" s="296"/>
      <c r="E926" s="296"/>
      <c r="F926" s="296"/>
      <c r="G926" s="297"/>
      <c r="H926" s="303"/>
      <c r="I926" s="298"/>
      <c r="J926" s="298"/>
      <c r="K926" s="299"/>
      <c r="L926" s="304"/>
      <c r="M926" s="300"/>
      <c r="N926" s="301"/>
      <c r="P926" s="193" t="str">
        <f>IF(R926 = "", "", COUNT(R$4:$R926))</f>
        <v/>
      </c>
      <c r="Q926" s="193" t="str">
        <f t="shared" si="141"/>
        <v/>
      </c>
      <c r="R926" s="194" t="str">
        <f t="shared" si="142"/>
        <v/>
      </c>
      <c r="S926" s="195" t="str">
        <f t="shared" si="144"/>
        <v/>
      </c>
      <c r="T926" s="196" t="str">
        <f t="shared" si="145"/>
        <v/>
      </c>
      <c r="U926" s="197" t="str">
        <f t="shared" si="146"/>
        <v/>
      </c>
      <c r="V926" s="198" t="str">
        <f t="shared" si="143"/>
        <v/>
      </c>
      <c r="W926" s="339" t="str">
        <f t="shared" si="147"/>
        <v/>
      </c>
      <c r="X926" s="341" t="str">
        <f t="shared" si="148"/>
        <v/>
      </c>
      <c r="Y926" s="277"/>
      <c r="AR926" t="str">
        <f t="shared" si="149"/>
        <v/>
      </c>
      <c r="AS926" t="str">
        <f t="shared" si="150"/>
        <v/>
      </c>
    </row>
    <row r="927" spans="1:45">
      <c r="A927" s="294"/>
      <c r="B927" s="295"/>
      <c r="C927" s="296"/>
      <c r="D927" s="296"/>
      <c r="E927" s="296"/>
      <c r="F927" s="296"/>
      <c r="G927" s="297"/>
      <c r="H927" s="303"/>
      <c r="I927" s="298"/>
      <c r="J927" s="298"/>
      <c r="K927" s="299"/>
      <c r="L927" s="304"/>
      <c r="M927" s="300"/>
      <c r="N927" s="301"/>
      <c r="P927" s="193" t="str">
        <f>IF(R927 = "", "", COUNT(R$4:$R927))</f>
        <v/>
      </c>
      <c r="Q927" s="193" t="str">
        <f t="shared" si="141"/>
        <v/>
      </c>
      <c r="R927" s="194" t="str">
        <f t="shared" si="142"/>
        <v/>
      </c>
      <c r="S927" s="195" t="str">
        <f t="shared" si="144"/>
        <v/>
      </c>
      <c r="T927" s="196" t="str">
        <f t="shared" si="145"/>
        <v/>
      </c>
      <c r="U927" s="197" t="str">
        <f t="shared" si="146"/>
        <v/>
      </c>
      <c r="V927" s="198" t="str">
        <f t="shared" si="143"/>
        <v/>
      </c>
      <c r="W927" s="339" t="str">
        <f t="shared" si="147"/>
        <v/>
      </c>
      <c r="X927" s="341" t="str">
        <f t="shared" si="148"/>
        <v/>
      </c>
      <c r="Y927" s="277"/>
      <c r="AR927" t="str">
        <f t="shared" si="149"/>
        <v/>
      </c>
      <c r="AS927" t="str">
        <f t="shared" si="150"/>
        <v/>
      </c>
    </row>
    <row r="928" spans="1:45">
      <c r="A928" s="294"/>
      <c r="B928" s="295"/>
      <c r="C928" s="296"/>
      <c r="D928" s="296"/>
      <c r="E928" s="296"/>
      <c r="F928" s="296"/>
      <c r="G928" s="297"/>
      <c r="H928" s="303"/>
      <c r="I928" s="298"/>
      <c r="J928" s="298"/>
      <c r="K928" s="299"/>
      <c r="L928" s="304"/>
      <c r="M928" s="300"/>
      <c r="N928" s="301"/>
      <c r="P928" s="193" t="str">
        <f>IF(R928 = "", "", COUNT(R$4:$R928))</f>
        <v/>
      </c>
      <c r="Q928" s="193" t="str">
        <f t="shared" si="141"/>
        <v/>
      </c>
      <c r="R928" s="194" t="str">
        <f t="shared" si="142"/>
        <v/>
      </c>
      <c r="S928" s="195" t="str">
        <f t="shared" si="144"/>
        <v/>
      </c>
      <c r="T928" s="196" t="str">
        <f t="shared" si="145"/>
        <v/>
      </c>
      <c r="U928" s="197" t="str">
        <f t="shared" si="146"/>
        <v/>
      </c>
      <c r="V928" s="198" t="str">
        <f t="shared" si="143"/>
        <v/>
      </c>
      <c r="W928" s="339" t="str">
        <f t="shared" si="147"/>
        <v/>
      </c>
      <c r="X928" s="341" t="str">
        <f t="shared" si="148"/>
        <v/>
      </c>
      <c r="Y928" s="277"/>
      <c r="AR928" t="str">
        <f t="shared" si="149"/>
        <v/>
      </c>
      <c r="AS928" t="str">
        <f t="shared" si="150"/>
        <v/>
      </c>
    </row>
    <row r="929" spans="1:45">
      <c r="A929" s="294"/>
      <c r="B929" s="295"/>
      <c r="C929" s="296"/>
      <c r="D929" s="296"/>
      <c r="E929" s="296"/>
      <c r="F929" s="296"/>
      <c r="G929" s="297"/>
      <c r="H929" s="303"/>
      <c r="I929" s="298"/>
      <c r="J929" s="298"/>
      <c r="K929" s="299"/>
      <c r="L929" s="304"/>
      <c r="M929" s="300"/>
      <c r="N929" s="301"/>
      <c r="P929" s="193" t="str">
        <f>IF(R929 = "", "", COUNT(R$4:$R929))</f>
        <v/>
      </c>
      <c r="Q929" s="193" t="str">
        <f t="shared" si="141"/>
        <v/>
      </c>
      <c r="R929" s="194" t="str">
        <f t="shared" si="142"/>
        <v/>
      </c>
      <c r="S929" s="195" t="str">
        <f t="shared" si="144"/>
        <v/>
      </c>
      <c r="T929" s="196" t="str">
        <f t="shared" si="145"/>
        <v/>
      </c>
      <c r="U929" s="197" t="str">
        <f t="shared" si="146"/>
        <v/>
      </c>
      <c r="V929" s="198" t="str">
        <f t="shared" si="143"/>
        <v/>
      </c>
      <c r="W929" s="339" t="str">
        <f t="shared" si="147"/>
        <v/>
      </c>
      <c r="X929" s="341" t="str">
        <f t="shared" si="148"/>
        <v/>
      </c>
      <c r="Y929" s="277"/>
      <c r="AR929" t="str">
        <f t="shared" si="149"/>
        <v/>
      </c>
      <c r="AS929" t="str">
        <f t="shared" si="150"/>
        <v/>
      </c>
    </row>
    <row r="930" spans="1:45">
      <c r="A930" s="294"/>
      <c r="B930" s="295"/>
      <c r="C930" s="296"/>
      <c r="D930" s="296"/>
      <c r="E930" s="296"/>
      <c r="F930" s="296"/>
      <c r="G930" s="297"/>
      <c r="H930" s="303"/>
      <c r="I930" s="298"/>
      <c r="J930" s="298"/>
      <c r="K930" s="299"/>
      <c r="L930" s="304"/>
      <c r="M930" s="300"/>
      <c r="N930" s="301"/>
      <c r="P930" s="193" t="str">
        <f>IF(R930 = "", "", COUNT(R$4:$R930))</f>
        <v/>
      </c>
      <c r="Q930" s="193" t="str">
        <f t="shared" si="141"/>
        <v/>
      </c>
      <c r="R930" s="194" t="str">
        <f t="shared" si="142"/>
        <v/>
      </c>
      <c r="S930" s="195" t="str">
        <f t="shared" si="144"/>
        <v/>
      </c>
      <c r="T930" s="196" t="str">
        <f t="shared" si="145"/>
        <v/>
      </c>
      <c r="U930" s="197" t="str">
        <f t="shared" si="146"/>
        <v/>
      </c>
      <c r="V930" s="198" t="str">
        <f t="shared" si="143"/>
        <v/>
      </c>
      <c r="W930" s="339" t="str">
        <f t="shared" si="147"/>
        <v/>
      </c>
      <c r="X930" s="341" t="str">
        <f t="shared" si="148"/>
        <v/>
      </c>
      <c r="Y930" s="277"/>
      <c r="AR930" t="str">
        <f t="shared" si="149"/>
        <v/>
      </c>
      <c r="AS930" t="str">
        <f t="shared" si="150"/>
        <v/>
      </c>
    </row>
    <row r="931" spans="1:45">
      <c r="A931" s="294"/>
      <c r="B931" s="295"/>
      <c r="C931" s="296"/>
      <c r="D931" s="296"/>
      <c r="E931" s="296"/>
      <c r="F931" s="296"/>
      <c r="G931" s="297"/>
      <c r="H931" s="303"/>
      <c r="I931" s="298"/>
      <c r="J931" s="298"/>
      <c r="K931" s="299"/>
      <c r="L931" s="304"/>
      <c r="M931" s="300"/>
      <c r="N931" s="301"/>
      <c r="P931" s="193" t="str">
        <f>IF(R931 = "", "", COUNT(R$4:$R931))</f>
        <v/>
      </c>
      <c r="Q931" s="193" t="str">
        <f t="shared" si="141"/>
        <v/>
      </c>
      <c r="R931" s="194" t="str">
        <f t="shared" si="142"/>
        <v/>
      </c>
      <c r="S931" s="195" t="str">
        <f t="shared" si="144"/>
        <v/>
      </c>
      <c r="T931" s="196" t="str">
        <f t="shared" si="145"/>
        <v/>
      </c>
      <c r="U931" s="197" t="str">
        <f t="shared" si="146"/>
        <v/>
      </c>
      <c r="V931" s="198" t="str">
        <f t="shared" si="143"/>
        <v/>
      </c>
      <c r="W931" s="339" t="str">
        <f t="shared" si="147"/>
        <v/>
      </c>
      <c r="X931" s="341" t="str">
        <f t="shared" si="148"/>
        <v/>
      </c>
      <c r="Y931" s="277"/>
      <c r="AR931" t="str">
        <f t="shared" si="149"/>
        <v/>
      </c>
      <c r="AS931" t="str">
        <f t="shared" si="150"/>
        <v/>
      </c>
    </row>
    <row r="932" spans="1:45">
      <c r="A932" s="294"/>
      <c r="B932" s="295"/>
      <c r="C932" s="296"/>
      <c r="D932" s="296"/>
      <c r="E932" s="296"/>
      <c r="F932" s="296"/>
      <c r="G932" s="297"/>
      <c r="H932" s="303"/>
      <c r="I932" s="298"/>
      <c r="J932" s="298"/>
      <c r="K932" s="299"/>
      <c r="L932" s="304"/>
      <c r="M932" s="300"/>
      <c r="N932" s="301"/>
      <c r="P932" s="193" t="str">
        <f>IF(R932 = "", "", COUNT(R$4:$R932))</f>
        <v/>
      </c>
      <c r="Q932" s="193" t="str">
        <f t="shared" si="141"/>
        <v/>
      </c>
      <c r="R932" s="194" t="str">
        <f t="shared" si="142"/>
        <v/>
      </c>
      <c r="S932" s="195" t="str">
        <f t="shared" si="144"/>
        <v/>
      </c>
      <c r="T932" s="196" t="str">
        <f t="shared" si="145"/>
        <v/>
      </c>
      <c r="U932" s="197" t="str">
        <f t="shared" si="146"/>
        <v/>
      </c>
      <c r="V932" s="198" t="str">
        <f t="shared" si="143"/>
        <v/>
      </c>
      <c r="W932" s="339" t="str">
        <f t="shared" si="147"/>
        <v/>
      </c>
      <c r="X932" s="341" t="str">
        <f t="shared" si="148"/>
        <v/>
      </c>
      <c r="Y932" s="277"/>
      <c r="AR932" t="str">
        <f t="shared" si="149"/>
        <v/>
      </c>
      <c r="AS932" t="str">
        <f t="shared" si="150"/>
        <v/>
      </c>
    </row>
    <row r="933" spans="1:45">
      <c r="A933" s="294"/>
      <c r="B933" s="295"/>
      <c r="C933" s="296"/>
      <c r="D933" s="296"/>
      <c r="E933" s="296"/>
      <c r="F933" s="296"/>
      <c r="G933" s="297"/>
      <c r="H933" s="303"/>
      <c r="I933" s="298"/>
      <c r="J933" s="298"/>
      <c r="K933" s="299"/>
      <c r="L933" s="304"/>
      <c r="M933" s="300"/>
      <c r="N933" s="301"/>
      <c r="P933" s="193" t="str">
        <f>IF(R933 = "", "", COUNT(R$4:$R933))</f>
        <v/>
      </c>
      <c r="Q933" s="193" t="str">
        <f t="shared" si="141"/>
        <v/>
      </c>
      <c r="R933" s="194" t="str">
        <f t="shared" si="142"/>
        <v/>
      </c>
      <c r="S933" s="195" t="str">
        <f t="shared" si="144"/>
        <v/>
      </c>
      <c r="T933" s="196" t="str">
        <f t="shared" si="145"/>
        <v/>
      </c>
      <c r="U933" s="197" t="str">
        <f t="shared" si="146"/>
        <v/>
      </c>
      <c r="V933" s="198" t="str">
        <f t="shared" si="143"/>
        <v/>
      </c>
      <c r="W933" s="339" t="str">
        <f t="shared" si="147"/>
        <v/>
      </c>
      <c r="X933" s="341" t="str">
        <f t="shared" si="148"/>
        <v/>
      </c>
      <c r="Y933" s="277"/>
      <c r="AR933" t="str">
        <f t="shared" si="149"/>
        <v/>
      </c>
      <c r="AS933" t="str">
        <f t="shared" si="150"/>
        <v/>
      </c>
    </row>
    <row r="934" spans="1:45">
      <c r="A934" s="294"/>
      <c r="B934" s="295"/>
      <c r="C934" s="296"/>
      <c r="D934" s="296"/>
      <c r="E934" s="296"/>
      <c r="F934" s="296"/>
      <c r="G934" s="297"/>
      <c r="H934" s="303"/>
      <c r="I934" s="298"/>
      <c r="J934" s="298"/>
      <c r="K934" s="299"/>
      <c r="L934" s="304"/>
      <c r="M934" s="300"/>
      <c r="N934" s="301"/>
      <c r="P934" s="193" t="str">
        <f>IF(R934 = "", "", COUNT(R$4:$R934))</f>
        <v/>
      </c>
      <c r="Q934" s="193" t="str">
        <f t="shared" si="141"/>
        <v/>
      </c>
      <c r="R934" s="194" t="str">
        <f t="shared" si="142"/>
        <v/>
      </c>
      <c r="S934" s="195" t="str">
        <f t="shared" si="144"/>
        <v/>
      </c>
      <c r="T934" s="196" t="str">
        <f t="shared" si="145"/>
        <v/>
      </c>
      <c r="U934" s="197" t="str">
        <f t="shared" si="146"/>
        <v/>
      </c>
      <c r="V934" s="198" t="str">
        <f t="shared" si="143"/>
        <v/>
      </c>
      <c r="W934" s="339" t="str">
        <f t="shared" si="147"/>
        <v/>
      </c>
      <c r="X934" s="341" t="str">
        <f t="shared" si="148"/>
        <v/>
      </c>
      <c r="Y934" s="277"/>
      <c r="AR934" t="str">
        <f t="shared" si="149"/>
        <v/>
      </c>
      <c r="AS934" t="str">
        <f t="shared" si="150"/>
        <v/>
      </c>
    </row>
    <row r="935" spans="1:45">
      <c r="A935" s="294"/>
      <c r="B935" s="295"/>
      <c r="C935" s="296"/>
      <c r="D935" s="296"/>
      <c r="E935" s="296"/>
      <c r="F935" s="296"/>
      <c r="G935" s="297"/>
      <c r="H935" s="303"/>
      <c r="I935" s="298"/>
      <c r="J935" s="298"/>
      <c r="K935" s="299"/>
      <c r="L935" s="304"/>
      <c r="M935" s="300"/>
      <c r="N935" s="301"/>
      <c r="P935" s="193" t="str">
        <f>IF(R935 = "", "", COUNT(R$4:$R935))</f>
        <v/>
      </c>
      <c r="Q935" s="193" t="str">
        <f t="shared" si="141"/>
        <v/>
      </c>
      <c r="R935" s="194" t="str">
        <f t="shared" si="142"/>
        <v/>
      </c>
      <c r="S935" s="195" t="str">
        <f t="shared" si="144"/>
        <v/>
      </c>
      <c r="T935" s="196" t="str">
        <f t="shared" si="145"/>
        <v/>
      </c>
      <c r="U935" s="197" t="str">
        <f t="shared" si="146"/>
        <v/>
      </c>
      <c r="V935" s="198" t="str">
        <f t="shared" si="143"/>
        <v/>
      </c>
      <c r="W935" s="339" t="str">
        <f t="shared" si="147"/>
        <v/>
      </c>
      <c r="X935" s="341" t="str">
        <f t="shared" si="148"/>
        <v/>
      </c>
      <c r="Y935" s="277"/>
      <c r="AR935" t="str">
        <f t="shared" si="149"/>
        <v/>
      </c>
      <c r="AS935" t="str">
        <f t="shared" si="150"/>
        <v/>
      </c>
    </row>
    <row r="936" spans="1:45">
      <c r="A936" s="294"/>
      <c r="B936" s="295"/>
      <c r="C936" s="296"/>
      <c r="D936" s="296"/>
      <c r="E936" s="296"/>
      <c r="F936" s="296"/>
      <c r="G936" s="297"/>
      <c r="H936" s="303"/>
      <c r="I936" s="298"/>
      <c r="J936" s="298"/>
      <c r="K936" s="299"/>
      <c r="L936" s="304"/>
      <c r="M936" s="300"/>
      <c r="N936" s="301"/>
      <c r="P936" s="193" t="str">
        <f>IF(R936 = "", "", COUNT(R$4:$R936))</f>
        <v/>
      </c>
      <c r="Q936" s="193" t="str">
        <f t="shared" si="141"/>
        <v/>
      </c>
      <c r="R936" s="194" t="str">
        <f t="shared" si="142"/>
        <v/>
      </c>
      <c r="S936" s="195" t="str">
        <f t="shared" si="144"/>
        <v/>
      </c>
      <c r="T936" s="196" t="str">
        <f t="shared" si="145"/>
        <v/>
      </c>
      <c r="U936" s="197" t="str">
        <f t="shared" si="146"/>
        <v/>
      </c>
      <c r="V936" s="198" t="str">
        <f t="shared" si="143"/>
        <v/>
      </c>
      <c r="W936" s="339" t="str">
        <f t="shared" si="147"/>
        <v/>
      </c>
      <c r="X936" s="341" t="str">
        <f t="shared" si="148"/>
        <v/>
      </c>
      <c r="Y936" s="277"/>
      <c r="AR936" t="str">
        <f t="shared" si="149"/>
        <v/>
      </c>
      <c r="AS936" t="str">
        <f t="shared" si="150"/>
        <v/>
      </c>
    </row>
    <row r="937" spans="1:45">
      <c r="A937" s="294"/>
      <c r="B937" s="295"/>
      <c r="C937" s="296"/>
      <c r="D937" s="296"/>
      <c r="E937" s="296"/>
      <c r="F937" s="296"/>
      <c r="G937" s="297"/>
      <c r="H937" s="303"/>
      <c r="I937" s="298"/>
      <c r="J937" s="298"/>
      <c r="K937" s="299"/>
      <c r="L937" s="304"/>
      <c r="M937" s="300"/>
      <c r="N937" s="301"/>
      <c r="P937" s="193" t="str">
        <f>IF(R937 = "", "", COUNT(R$4:$R937))</f>
        <v/>
      </c>
      <c r="Q937" s="193" t="str">
        <f t="shared" si="141"/>
        <v/>
      </c>
      <c r="R937" s="194" t="str">
        <f t="shared" si="142"/>
        <v/>
      </c>
      <c r="S937" s="195" t="str">
        <f t="shared" si="144"/>
        <v/>
      </c>
      <c r="T937" s="196" t="str">
        <f t="shared" si="145"/>
        <v/>
      </c>
      <c r="U937" s="197" t="str">
        <f t="shared" si="146"/>
        <v/>
      </c>
      <c r="V937" s="198" t="str">
        <f t="shared" si="143"/>
        <v/>
      </c>
      <c r="W937" s="339" t="str">
        <f t="shared" si="147"/>
        <v/>
      </c>
      <c r="X937" s="341" t="str">
        <f t="shared" si="148"/>
        <v/>
      </c>
      <c r="Y937" s="277"/>
      <c r="AR937" t="str">
        <f t="shared" si="149"/>
        <v/>
      </c>
      <c r="AS937" t="str">
        <f t="shared" si="150"/>
        <v/>
      </c>
    </row>
    <row r="938" spans="1:45">
      <c r="A938" s="294"/>
      <c r="B938" s="295"/>
      <c r="C938" s="296"/>
      <c r="D938" s="296"/>
      <c r="E938" s="296"/>
      <c r="F938" s="296"/>
      <c r="G938" s="297"/>
      <c r="H938" s="303"/>
      <c r="I938" s="298"/>
      <c r="J938" s="298"/>
      <c r="K938" s="299"/>
      <c r="L938" s="304"/>
      <c r="M938" s="300"/>
      <c r="N938" s="301"/>
      <c r="P938" s="193" t="str">
        <f>IF(R938 = "", "", COUNT(R$4:$R938))</f>
        <v/>
      </c>
      <c r="Q938" s="193" t="str">
        <f t="shared" si="141"/>
        <v/>
      </c>
      <c r="R938" s="194" t="str">
        <f t="shared" si="142"/>
        <v/>
      </c>
      <c r="S938" s="195" t="str">
        <f t="shared" si="144"/>
        <v/>
      </c>
      <c r="T938" s="196" t="str">
        <f t="shared" si="145"/>
        <v/>
      </c>
      <c r="U938" s="197" t="str">
        <f t="shared" si="146"/>
        <v/>
      </c>
      <c r="V938" s="198" t="str">
        <f t="shared" si="143"/>
        <v/>
      </c>
      <c r="W938" s="339" t="str">
        <f t="shared" si="147"/>
        <v/>
      </c>
      <c r="X938" s="341" t="str">
        <f t="shared" si="148"/>
        <v/>
      </c>
      <c r="Y938" s="277"/>
      <c r="AR938" t="str">
        <f t="shared" si="149"/>
        <v/>
      </c>
      <c r="AS938" t="str">
        <f t="shared" si="150"/>
        <v/>
      </c>
    </row>
    <row r="939" spans="1:45">
      <c r="A939" s="294"/>
      <c r="B939" s="295"/>
      <c r="C939" s="296"/>
      <c r="D939" s="296"/>
      <c r="E939" s="296"/>
      <c r="F939" s="296"/>
      <c r="G939" s="297"/>
      <c r="H939" s="303"/>
      <c r="I939" s="298"/>
      <c r="J939" s="298"/>
      <c r="K939" s="299"/>
      <c r="L939" s="304"/>
      <c r="M939" s="300"/>
      <c r="N939" s="301"/>
      <c r="P939" s="193" t="str">
        <f>IF(R939 = "", "", COUNT(R$4:$R939))</f>
        <v/>
      </c>
      <c r="Q939" s="193" t="str">
        <f t="shared" si="141"/>
        <v/>
      </c>
      <c r="R939" s="194" t="str">
        <f t="shared" si="142"/>
        <v/>
      </c>
      <c r="S939" s="195" t="str">
        <f t="shared" si="144"/>
        <v/>
      </c>
      <c r="T939" s="196" t="str">
        <f t="shared" si="145"/>
        <v/>
      </c>
      <c r="U939" s="197" t="str">
        <f t="shared" si="146"/>
        <v/>
      </c>
      <c r="V939" s="198" t="str">
        <f t="shared" si="143"/>
        <v/>
      </c>
      <c r="W939" s="339" t="str">
        <f t="shared" si="147"/>
        <v/>
      </c>
      <c r="X939" s="341" t="str">
        <f t="shared" si="148"/>
        <v/>
      </c>
      <c r="Y939" s="277"/>
      <c r="AR939" t="str">
        <f t="shared" si="149"/>
        <v/>
      </c>
      <c r="AS939" t="str">
        <f t="shared" si="150"/>
        <v/>
      </c>
    </row>
    <row r="940" spans="1:45">
      <c r="A940" s="294"/>
      <c r="B940" s="295"/>
      <c r="C940" s="296"/>
      <c r="D940" s="296"/>
      <c r="E940" s="296"/>
      <c r="F940" s="296"/>
      <c r="G940" s="297"/>
      <c r="H940" s="303"/>
      <c r="I940" s="298"/>
      <c r="J940" s="298"/>
      <c r="K940" s="299"/>
      <c r="L940" s="304"/>
      <c r="M940" s="300"/>
      <c r="N940" s="301"/>
      <c r="P940" s="193" t="str">
        <f>IF(R940 = "", "", COUNT(R$4:$R940))</f>
        <v/>
      </c>
      <c r="Q940" s="193" t="str">
        <f t="shared" si="141"/>
        <v/>
      </c>
      <c r="R940" s="194" t="str">
        <f t="shared" si="142"/>
        <v/>
      </c>
      <c r="S940" s="195" t="str">
        <f t="shared" si="144"/>
        <v/>
      </c>
      <c r="T940" s="196" t="str">
        <f t="shared" si="145"/>
        <v/>
      </c>
      <c r="U940" s="197" t="str">
        <f t="shared" si="146"/>
        <v/>
      </c>
      <c r="V940" s="198" t="str">
        <f t="shared" si="143"/>
        <v/>
      </c>
      <c r="W940" s="339" t="str">
        <f t="shared" si="147"/>
        <v/>
      </c>
      <c r="X940" s="341" t="str">
        <f t="shared" si="148"/>
        <v/>
      </c>
      <c r="Y940" s="277"/>
      <c r="AR940" t="str">
        <f t="shared" si="149"/>
        <v/>
      </c>
      <c r="AS940" t="str">
        <f t="shared" si="150"/>
        <v/>
      </c>
    </row>
    <row r="941" spans="1:45">
      <c r="A941" s="294"/>
      <c r="B941" s="295"/>
      <c r="C941" s="296"/>
      <c r="D941" s="296"/>
      <c r="E941" s="296"/>
      <c r="F941" s="296"/>
      <c r="G941" s="297"/>
      <c r="H941" s="303"/>
      <c r="I941" s="298"/>
      <c r="J941" s="298"/>
      <c r="K941" s="299"/>
      <c r="L941" s="304"/>
      <c r="M941" s="300"/>
      <c r="N941" s="301"/>
      <c r="P941" s="193" t="str">
        <f>IF(R941 = "", "", COUNT(R$4:$R941))</f>
        <v/>
      </c>
      <c r="Q941" s="193" t="str">
        <f t="shared" si="141"/>
        <v/>
      </c>
      <c r="R941" s="194" t="str">
        <f t="shared" si="142"/>
        <v/>
      </c>
      <c r="S941" s="195" t="str">
        <f t="shared" si="144"/>
        <v/>
      </c>
      <c r="T941" s="196" t="str">
        <f t="shared" si="145"/>
        <v/>
      </c>
      <c r="U941" s="197" t="str">
        <f t="shared" si="146"/>
        <v/>
      </c>
      <c r="V941" s="198" t="str">
        <f t="shared" si="143"/>
        <v/>
      </c>
      <c r="W941" s="339" t="str">
        <f t="shared" si="147"/>
        <v/>
      </c>
      <c r="X941" s="341" t="str">
        <f t="shared" si="148"/>
        <v/>
      </c>
      <c r="Y941" s="277"/>
      <c r="AR941" t="str">
        <f t="shared" si="149"/>
        <v/>
      </c>
      <c r="AS941" t="str">
        <f t="shared" si="150"/>
        <v/>
      </c>
    </row>
    <row r="942" spans="1:45">
      <c r="A942" s="294"/>
      <c r="B942" s="295"/>
      <c r="C942" s="296"/>
      <c r="D942" s="296"/>
      <c r="E942" s="296"/>
      <c r="F942" s="296"/>
      <c r="G942" s="297"/>
      <c r="H942" s="303"/>
      <c r="I942" s="298"/>
      <c r="J942" s="298"/>
      <c r="K942" s="299"/>
      <c r="L942" s="304"/>
      <c r="M942" s="300"/>
      <c r="N942" s="301"/>
      <c r="P942" s="193" t="str">
        <f>IF(R942 = "", "", COUNT(R$4:$R942))</f>
        <v/>
      </c>
      <c r="Q942" s="193" t="str">
        <f t="shared" si="141"/>
        <v/>
      </c>
      <c r="R942" s="194" t="str">
        <f t="shared" si="142"/>
        <v/>
      </c>
      <c r="S942" s="195" t="str">
        <f t="shared" si="144"/>
        <v/>
      </c>
      <c r="T942" s="196" t="str">
        <f t="shared" si="145"/>
        <v/>
      </c>
      <c r="U942" s="197" t="str">
        <f t="shared" si="146"/>
        <v/>
      </c>
      <c r="V942" s="198" t="str">
        <f t="shared" si="143"/>
        <v/>
      </c>
      <c r="W942" s="339" t="str">
        <f t="shared" si="147"/>
        <v/>
      </c>
      <c r="X942" s="341" t="str">
        <f t="shared" si="148"/>
        <v/>
      </c>
      <c r="Y942" s="277"/>
      <c r="AR942" t="str">
        <f t="shared" si="149"/>
        <v/>
      </c>
      <c r="AS942" t="str">
        <f t="shared" si="150"/>
        <v/>
      </c>
    </row>
    <row r="943" spans="1:45">
      <c r="A943" s="294"/>
      <c r="B943" s="295"/>
      <c r="C943" s="296"/>
      <c r="D943" s="296"/>
      <c r="E943" s="296"/>
      <c r="F943" s="296"/>
      <c r="G943" s="297"/>
      <c r="H943" s="303"/>
      <c r="I943" s="298"/>
      <c r="J943" s="298"/>
      <c r="K943" s="299"/>
      <c r="L943" s="304"/>
      <c r="M943" s="300"/>
      <c r="N943" s="301"/>
      <c r="P943" s="193" t="str">
        <f>IF(R943 = "", "", COUNT(R$4:$R943))</f>
        <v/>
      </c>
      <c r="Q943" s="193" t="str">
        <f t="shared" si="141"/>
        <v/>
      </c>
      <c r="R943" s="194" t="str">
        <f t="shared" si="142"/>
        <v/>
      </c>
      <c r="S943" s="195" t="str">
        <f t="shared" si="144"/>
        <v/>
      </c>
      <c r="T943" s="196" t="str">
        <f t="shared" si="145"/>
        <v/>
      </c>
      <c r="U943" s="197" t="str">
        <f t="shared" si="146"/>
        <v/>
      </c>
      <c r="V943" s="198" t="str">
        <f t="shared" si="143"/>
        <v/>
      </c>
      <c r="W943" s="339" t="str">
        <f t="shared" si="147"/>
        <v/>
      </c>
      <c r="X943" s="341" t="str">
        <f t="shared" si="148"/>
        <v/>
      </c>
      <c r="Y943" s="277"/>
      <c r="AR943" t="str">
        <f t="shared" si="149"/>
        <v/>
      </c>
      <c r="AS943" t="str">
        <f t="shared" si="150"/>
        <v/>
      </c>
    </row>
    <row r="944" spans="1:45">
      <c r="A944" s="294"/>
      <c r="B944" s="295"/>
      <c r="C944" s="296"/>
      <c r="D944" s="296"/>
      <c r="E944" s="296"/>
      <c r="F944" s="296"/>
      <c r="G944" s="297"/>
      <c r="H944" s="303"/>
      <c r="I944" s="298"/>
      <c r="J944" s="298"/>
      <c r="K944" s="299"/>
      <c r="L944" s="304"/>
      <c r="M944" s="300"/>
      <c r="N944" s="301"/>
      <c r="P944" s="193" t="str">
        <f>IF(R944 = "", "", COUNT(R$4:$R944))</f>
        <v/>
      </c>
      <c r="Q944" s="193" t="str">
        <f t="shared" si="141"/>
        <v/>
      </c>
      <c r="R944" s="194" t="str">
        <f t="shared" si="142"/>
        <v/>
      </c>
      <c r="S944" s="195" t="str">
        <f t="shared" si="144"/>
        <v/>
      </c>
      <c r="T944" s="196" t="str">
        <f t="shared" si="145"/>
        <v/>
      </c>
      <c r="U944" s="197" t="str">
        <f t="shared" si="146"/>
        <v/>
      </c>
      <c r="V944" s="198" t="str">
        <f t="shared" si="143"/>
        <v/>
      </c>
      <c r="W944" s="339" t="str">
        <f t="shared" si="147"/>
        <v/>
      </c>
      <c r="X944" s="341" t="str">
        <f t="shared" si="148"/>
        <v/>
      </c>
      <c r="Y944" s="277"/>
      <c r="AR944" t="str">
        <f t="shared" si="149"/>
        <v/>
      </c>
      <c r="AS944" t="str">
        <f t="shared" si="150"/>
        <v/>
      </c>
    </row>
    <row r="945" spans="1:45">
      <c r="A945" s="294"/>
      <c r="B945" s="295"/>
      <c r="C945" s="296"/>
      <c r="D945" s="296"/>
      <c r="E945" s="296"/>
      <c r="F945" s="296"/>
      <c r="G945" s="297"/>
      <c r="H945" s="303"/>
      <c r="I945" s="298"/>
      <c r="J945" s="298"/>
      <c r="K945" s="299"/>
      <c r="L945" s="304"/>
      <c r="M945" s="300"/>
      <c r="N945" s="301"/>
      <c r="P945" s="193" t="str">
        <f>IF(R945 = "", "", COUNT(R$4:$R945))</f>
        <v/>
      </c>
      <c r="Q945" s="193" t="str">
        <f t="shared" si="141"/>
        <v/>
      </c>
      <c r="R945" s="194" t="str">
        <f t="shared" si="142"/>
        <v/>
      </c>
      <c r="S945" s="195" t="str">
        <f t="shared" si="144"/>
        <v/>
      </c>
      <c r="T945" s="196" t="str">
        <f t="shared" si="145"/>
        <v/>
      </c>
      <c r="U945" s="197" t="str">
        <f t="shared" si="146"/>
        <v/>
      </c>
      <c r="V945" s="198" t="str">
        <f t="shared" si="143"/>
        <v/>
      </c>
      <c r="W945" s="339" t="str">
        <f t="shared" si="147"/>
        <v/>
      </c>
      <c r="X945" s="341" t="str">
        <f t="shared" si="148"/>
        <v/>
      </c>
      <c r="Y945" s="277"/>
      <c r="AR945" t="str">
        <f t="shared" si="149"/>
        <v/>
      </c>
      <c r="AS945" t="str">
        <f t="shared" si="150"/>
        <v/>
      </c>
    </row>
    <row r="946" spans="1:45">
      <c r="A946" s="294"/>
      <c r="B946" s="295"/>
      <c r="C946" s="296"/>
      <c r="D946" s="296"/>
      <c r="E946" s="296"/>
      <c r="F946" s="296"/>
      <c r="G946" s="297"/>
      <c r="H946" s="303"/>
      <c r="I946" s="298"/>
      <c r="J946" s="298"/>
      <c r="K946" s="299"/>
      <c r="L946" s="304"/>
      <c r="M946" s="300"/>
      <c r="N946" s="301"/>
      <c r="P946" s="193" t="str">
        <f>IF(R946 = "", "", COUNT(R$4:$R946))</f>
        <v/>
      </c>
      <c r="Q946" s="193" t="str">
        <f t="shared" si="141"/>
        <v/>
      </c>
      <c r="R946" s="194" t="str">
        <f t="shared" si="142"/>
        <v/>
      </c>
      <c r="S946" s="195" t="str">
        <f t="shared" si="144"/>
        <v/>
      </c>
      <c r="T946" s="196" t="str">
        <f t="shared" si="145"/>
        <v/>
      </c>
      <c r="U946" s="197" t="str">
        <f t="shared" si="146"/>
        <v/>
      </c>
      <c r="V946" s="198" t="str">
        <f t="shared" si="143"/>
        <v/>
      </c>
      <c r="W946" s="339" t="str">
        <f t="shared" si="147"/>
        <v/>
      </c>
      <c r="X946" s="341" t="str">
        <f t="shared" si="148"/>
        <v/>
      </c>
      <c r="Y946" s="277"/>
      <c r="AR946" t="str">
        <f t="shared" si="149"/>
        <v/>
      </c>
      <c r="AS946" t="str">
        <f t="shared" si="150"/>
        <v/>
      </c>
    </row>
    <row r="947" spans="1:45">
      <c r="A947" s="294"/>
      <c r="B947" s="295"/>
      <c r="C947" s="296"/>
      <c r="D947" s="296"/>
      <c r="E947" s="296"/>
      <c r="F947" s="296"/>
      <c r="G947" s="297"/>
      <c r="H947" s="303"/>
      <c r="I947" s="298"/>
      <c r="J947" s="298"/>
      <c r="K947" s="299"/>
      <c r="L947" s="304"/>
      <c r="M947" s="300"/>
      <c r="N947" s="301"/>
      <c r="P947" s="193" t="str">
        <f>IF(R947 = "", "", COUNT(R$4:$R947))</f>
        <v/>
      </c>
      <c r="Q947" s="193" t="str">
        <f t="shared" si="141"/>
        <v/>
      </c>
      <c r="R947" s="194" t="str">
        <f t="shared" si="142"/>
        <v/>
      </c>
      <c r="S947" s="195" t="str">
        <f t="shared" si="144"/>
        <v/>
      </c>
      <c r="T947" s="196" t="str">
        <f t="shared" si="145"/>
        <v/>
      </c>
      <c r="U947" s="197" t="str">
        <f t="shared" si="146"/>
        <v/>
      </c>
      <c r="V947" s="198" t="str">
        <f t="shared" si="143"/>
        <v/>
      </c>
      <c r="W947" s="339" t="str">
        <f t="shared" si="147"/>
        <v/>
      </c>
      <c r="X947" s="341" t="str">
        <f t="shared" si="148"/>
        <v/>
      </c>
      <c r="Y947" s="277"/>
      <c r="AR947" t="str">
        <f t="shared" si="149"/>
        <v/>
      </c>
      <c r="AS947" t="str">
        <f t="shared" si="150"/>
        <v/>
      </c>
    </row>
    <row r="948" spans="1:45">
      <c r="A948" s="294"/>
      <c r="B948" s="295"/>
      <c r="C948" s="296"/>
      <c r="D948" s="296"/>
      <c r="E948" s="296"/>
      <c r="F948" s="296"/>
      <c r="G948" s="297"/>
      <c r="H948" s="303"/>
      <c r="I948" s="298"/>
      <c r="J948" s="298"/>
      <c r="K948" s="299"/>
      <c r="L948" s="304"/>
      <c r="M948" s="300"/>
      <c r="N948" s="301"/>
      <c r="P948" s="193" t="str">
        <f>IF(R948 = "", "", COUNT(R$4:$R948))</f>
        <v/>
      </c>
      <c r="Q948" s="193" t="str">
        <f t="shared" si="141"/>
        <v/>
      </c>
      <c r="R948" s="194" t="str">
        <f t="shared" si="142"/>
        <v/>
      </c>
      <c r="S948" s="195" t="str">
        <f t="shared" si="144"/>
        <v/>
      </c>
      <c r="T948" s="196" t="str">
        <f t="shared" si="145"/>
        <v/>
      </c>
      <c r="U948" s="197" t="str">
        <f t="shared" si="146"/>
        <v/>
      </c>
      <c r="V948" s="198" t="str">
        <f t="shared" si="143"/>
        <v/>
      </c>
      <c r="W948" s="339" t="str">
        <f t="shared" si="147"/>
        <v/>
      </c>
      <c r="X948" s="341" t="str">
        <f t="shared" si="148"/>
        <v/>
      </c>
      <c r="Y948" s="277"/>
      <c r="AR948" t="str">
        <f t="shared" si="149"/>
        <v/>
      </c>
      <c r="AS948" t="str">
        <f t="shared" si="150"/>
        <v/>
      </c>
    </row>
    <row r="949" spans="1:45">
      <c r="A949" s="294"/>
      <c r="B949" s="295"/>
      <c r="C949" s="296"/>
      <c r="D949" s="296"/>
      <c r="E949" s="296"/>
      <c r="F949" s="296"/>
      <c r="G949" s="297"/>
      <c r="H949" s="303"/>
      <c r="I949" s="298"/>
      <c r="J949" s="298"/>
      <c r="K949" s="299"/>
      <c r="L949" s="304"/>
      <c r="M949" s="300"/>
      <c r="N949" s="301"/>
      <c r="P949" s="193" t="str">
        <f>IF(R949 = "", "", COUNT(R$4:$R949))</f>
        <v/>
      </c>
      <c r="Q949" s="193" t="str">
        <f t="shared" si="141"/>
        <v/>
      </c>
      <c r="R949" s="194" t="str">
        <f t="shared" si="142"/>
        <v/>
      </c>
      <c r="S949" s="195" t="str">
        <f t="shared" si="144"/>
        <v/>
      </c>
      <c r="T949" s="196" t="str">
        <f t="shared" si="145"/>
        <v/>
      </c>
      <c r="U949" s="197" t="str">
        <f t="shared" si="146"/>
        <v/>
      </c>
      <c r="V949" s="198" t="str">
        <f t="shared" si="143"/>
        <v/>
      </c>
      <c r="W949" s="339" t="str">
        <f t="shared" si="147"/>
        <v/>
      </c>
      <c r="X949" s="341" t="str">
        <f t="shared" si="148"/>
        <v/>
      </c>
      <c r="Y949" s="277"/>
      <c r="AR949" t="str">
        <f t="shared" si="149"/>
        <v/>
      </c>
      <c r="AS949" t="str">
        <f t="shared" si="150"/>
        <v/>
      </c>
    </row>
    <row r="950" spans="1:45">
      <c r="A950" s="294"/>
      <c r="B950" s="295"/>
      <c r="C950" s="296"/>
      <c r="D950" s="296"/>
      <c r="E950" s="296"/>
      <c r="F950" s="296"/>
      <c r="G950" s="297"/>
      <c r="H950" s="303"/>
      <c r="I950" s="298"/>
      <c r="J950" s="298"/>
      <c r="K950" s="299"/>
      <c r="L950" s="304"/>
      <c r="M950" s="300"/>
      <c r="N950" s="301"/>
      <c r="P950" s="193" t="str">
        <f>IF(R950 = "", "", COUNT(R$4:$R950))</f>
        <v/>
      </c>
      <c r="Q950" s="193" t="str">
        <f t="shared" si="141"/>
        <v/>
      </c>
      <c r="R950" s="194" t="str">
        <f t="shared" si="142"/>
        <v/>
      </c>
      <c r="S950" s="195" t="str">
        <f t="shared" si="144"/>
        <v/>
      </c>
      <c r="T950" s="196" t="str">
        <f t="shared" si="145"/>
        <v/>
      </c>
      <c r="U950" s="197" t="str">
        <f t="shared" si="146"/>
        <v/>
      </c>
      <c r="V950" s="198" t="str">
        <f t="shared" si="143"/>
        <v/>
      </c>
      <c r="W950" s="339" t="str">
        <f t="shared" si="147"/>
        <v/>
      </c>
      <c r="X950" s="341" t="str">
        <f t="shared" si="148"/>
        <v/>
      </c>
      <c r="Y950" s="277"/>
      <c r="AR950" t="str">
        <f t="shared" si="149"/>
        <v/>
      </c>
      <c r="AS950" t="str">
        <f t="shared" si="150"/>
        <v/>
      </c>
    </row>
    <row r="951" spans="1:45">
      <c r="A951" s="294"/>
      <c r="B951" s="295"/>
      <c r="C951" s="296"/>
      <c r="D951" s="296"/>
      <c r="E951" s="296"/>
      <c r="F951" s="296"/>
      <c r="G951" s="297"/>
      <c r="H951" s="303"/>
      <c r="I951" s="298"/>
      <c r="J951" s="298"/>
      <c r="K951" s="299"/>
      <c r="L951" s="304"/>
      <c r="M951" s="300"/>
      <c r="N951" s="301"/>
      <c r="P951" s="193" t="str">
        <f>IF(R951 = "", "", COUNT(R$4:$R951))</f>
        <v/>
      </c>
      <c r="Q951" s="193" t="str">
        <f t="shared" si="141"/>
        <v/>
      </c>
      <c r="R951" s="194" t="str">
        <f t="shared" si="142"/>
        <v/>
      </c>
      <c r="S951" s="195" t="str">
        <f t="shared" si="144"/>
        <v/>
      </c>
      <c r="T951" s="196" t="str">
        <f t="shared" si="145"/>
        <v/>
      </c>
      <c r="U951" s="197" t="str">
        <f t="shared" si="146"/>
        <v/>
      </c>
      <c r="V951" s="198" t="str">
        <f t="shared" si="143"/>
        <v/>
      </c>
      <c r="W951" s="339" t="str">
        <f t="shared" si="147"/>
        <v/>
      </c>
      <c r="X951" s="341" t="str">
        <f t="shared" si="148"/>
        <v/>
      </c>
      <c r="Y951" s="277"/>
      <c r="AR951" t="str">
        <f t="shared" si="149"/>
        <v/>
      </c>
      <c r="AS951" t="str">
        <f t="shared" si="150"/>
        <v/>
      </c>
    </row>
    <row r="952" spans="1:45">
      <c r="A952" s="294"/>
      <c r="B952" s="295"/>
      <c r="C952" s="296"/>
      <c r="D952" s="296"/>
      <c r="E952" s="296"/>
      <c r="F952" s="296"/>
      <c r="G952" s="297"/>
      <c r="H952" s="303"/>
      <c r="I952" s="298"/>
      <c r="J952" s="298"/>
      <c r="K952" s="299"/>
      <c r="L952" s="304"/>
      <c r="M952" s="300"/>
      <c r="N952" s="301"/>
      <c r="P952" s="193" t="str">
        <f>IF(R952 = "", "", COUNT(R$4:$R952))</f>
        <v/>
      </c>
      <c r="Q952" s="193" t="str">
        <f t="shared" si="141"/>
        <v/>
      </c>
      <c r="R952" s="194" t="str">
        <f t="shared" si="142"/>
        <v/>
      </c>
      <c r="S952" s="195" t="str">
        <f t="shared" si="144"/>
        <v/>
      </c>
      <c r="T952" s="196" t="str">
        <f t="shared" si="145"/>
        <v/>
      </c>
      <c r="U952" s="197" t="str">
        <f t="shared" si="146"/>
        <v/>
      </c>
      <c r="V952" s="198" t="str">
        <f t="shared" si="143"/>
        <v/>
      </c>
      <c r="W952" s="339" t="str">
        <f t="shared" si="147"/>
        <v/>
      </c>
      <c r="X952" s="341" t="str">
        <f t="shared" si="148"/>
        <v/>
      </c>
      <c r="Y952" s="277"/>
      <c r="AR952" t="str">
        <f t="shared" si="149"/>
        <v/>
      </c>
      <c r="AS952" t="str">
        <f t="shared" si="150"/>
        <v/>
      </c>
    </row>
    <row r="953" spans="1:45">
      <c r="A953" s="294"/>
      <c r="B953" s="295"/>
      <c r="C953" s="296"/>
      <c r="D953" s="296"/>
      <c r="E953" s="296"/>
      <c r="F953" s="296"/>
      <c r="G953" s="297"/>
      <c r="H953" s="303"/>
      <c r="I953" s="298"/>
      <c r="J953" s="298"/>
      <c r="K953" s="299"/>
      <c r="L953" s="304"/>
      <c r="M953" s="300"/>
      <c r="N953" s="301"/>
      <c r="P953" s="193" t="str">
        <f>IF(R953 = "", "", COUNT(R$4:$R953))</f>
        <v/>
      </c>
      <c r="Q953" s="193" t="str">
        <f t="shared" si="141"/>
        <v/>
      </c>
      <c r="R953" s="194" t="str">
        <f t="shared" si="142"/>
        <v/>
      </c>
      <c r="S953" s="195" t="str">
        <f t="shared" si="144"/>
        <v/>
      </c>
      <c r="T953" s="196" t="str">
        <f t="shared" si="145"/>
        <v/>
      </c>
      <c r="U953" s="197" t="str">
        <f t="shared" si="146"/>
        <v/>
      </c>
      <c r="V953" s="198" t="str">
        <f t="shared" si="143"/>
        <v/>
      </c>
      <c r="W953" s="339" t="str">
        <f t="shared" si="147"/>
        <v/>
      </c>
      <c r="X953" s="341" t="str">
        <f t="shared" si="148"/>
        <v/>
      </c>
      <c r="Y953" s="277"/>
      <c r="AR953" t="str">
        <f t="shared" si="149"/>
        <v/>
      </c>
      <c r="AS953" t="str">
        <f t="shared" si="150"/>
        <v/>
      </c>
    </row>
    <row r="954" spans="1:45">
      <c r="A954" s="294"/>
      <c r="B954" s="295"/>
      <c r="C954" s="296"/>
      <c r="D954" s="296"/>
      <c r="E954" s="296"/>
      <c r="F954" s="296"/>
      <c r="G954" s="297"/>
      <c r="H954" s="303"/>
      <c r="I954" s="298"/>
      <c r="J954" s="298"/>
      <c r="K954" s="299"/>
      <c r="L954" s="304"/>
      <c r="M954" s="300"/>
      <c r="N954" s="301"/>
      <c r="P954" s="193" t="str">
        <f>IF(R954 = "", "", COUNT(R$4:$R954))</f>
        <v/>
      </c>
      <c r="Q954" s="193" t="str">
        <f t="shared" si="141"/>
        <v/>
      </c>
      <c r="R954" s="194" t="str">
        <f t="shared" si="142"/>
        <v/>
      </c>
      <c r="S954" s="195" t="str">
        <f t="shared" si="144"/>
        <v/>
      </c>
      <c r="T954" s="196" t="str">
        <f t="shared" si="145"/>
        <v/>
      </c>
      <c r="U954" s="197" t="str">
        <f t="shared" si="146"/>
        <v/>
      </c>
      <c r="V954" s="198" t="str">
        <f t="shared" si="143"/>
        <v/>
      </c>
      <c r="W954" s="339" t="str">
        <f t="shared" si="147"/>
        <v/>
      </c>
      <c r="X954" s="341" t="str">
        <f t="shared" si="148"/>
        <v/>
      </c>
      <c r="Y954" s="277"/>
      <c r="AR954" t="str">
        <f t="shared" si="149"/>
        <v/>
      </c>
      <c r="AS954" t="str">
        <f t="shared" si="150"/>
        <v/>
      </c>
    </row>
    <row r="955" spans="1:45">
      <c r="A955" s="294"/>
      <c r="B955" s="295"/>
      <c r="C955" s="296"/>
      <c r="D955" s="296"/>
      <c r="E955" s="296"/>
      <c r="F955" s="296"/>
      <c r="G955" s="297"/>
      <c r="H955" s="303"/>
      <c r="I955" s="298"/>
      <c r="J955" s="298"/>
      <c r="K955" s="299"/>
      <c r="L955" s="304"/>
      <c r="M955" s="300"/>
      <c r="N955" s="301"/>
      <c r="P955" s="193" t="str">
        <f>IF(R955 = "", "", COUNT(R$4:$R955))</f>
        <v/>
      </c>
      <c r="Q955" s="193" t="str">
        <f t="shared" si="141"/>
        <v/>
      </c>
      <c r="R955" s="194" t="str">
        <f t="shared" si="142"/>
        <v/>
      </c>
      <c r="S955" s="195" t="str">
        <f t="shared" si="144"/>
        <v/>
      </c>
      <c r="T955" s="196" t="str">
        <f t="shared" si="145"/>
        <v/>
      </c>
      <c r="U955" s="197" t="str">
        <f t="shared" si="146"/>
        <v/>
      </c>
      <c r="V955" s="198" t="str">
        <f t="shared" si="143"/>
        <v/>
      </c>
      <c r="W955" s="339" t="str">
        <f t="shared" si="147"/>
        <v/>
      </c>
      <c r="X955" s="341" t="str">
        <f t="shared" si="148"/>
        <v/>
      </c>
      <c r="Y955" s="277"/>
      <c r="AR955" t="str">
        <f t="shared" si="149"/>
        <v/>
      </c>
      <c r="AS955" t="str">
        <f t="shared" si="150"/>
        <v/>
      </c>
    </row>
    <row r="956" spans="1:45">
      <c r="A956" s="294"/>
      <c r="B956" s="295"/>
      <c r="C956" s="296"/>
      <c r="D956" s="296"/>
      <c r="E956" s="296"/>
      <c r="F956" s="296"/>
      <c r="G956" s="297"/>
      <c r="H956" s="303"/>
      <c r="I956" s="298"/>
      <c r="J956" s="298"/>
      <c r="K956" s="299"/>
      <c r="L956" s="304"/>
      <c r="M956" s="300"/>
      <c r="N956" s="301"/>
      <c r="P956" s="193" t="str">
        <f>IF(R956 = "", "", COUNT(R$4:$R956))</f>
        <v/>
      </c>
      <c r="Q956" s="193" t="str">
        <f t="shared" si="141"/>
        <v/>
      </c>
      <c r="R956" s="194" t="str">
        <f t="shared" si="142"/>
        <v/>
      </c>
      <c r="S956" s="195" t="str">
        <f t="shared" si="144"/>
        <v/>
      </c>
      <c r="T956" s="196" t="str">
        <f t="shared" si="145"/>
        <v/>
      </c>
      <c r="U956" s="197" t="str">
        <f t="shared" si="146"/>
        <v/>
      </c>
      <c r="V956" s="198" t="str">
        <f t="shared" si="143"/>
        <v/>
      </c>
      <c r="W956" s="339" t="str">
        <f t="shared" si="147"/>
        <v/>
      </c>
      <c r="X956" s="341" t="str">
        <f t="shared" si="148"/>
        <v/>
      </c>
      <c r="Y956" s="277"/>
      <c r="AR956" t="str">
        <f t="shared" si="149"/>
        <v/>
      </c>
      <c r="AS956" t="str">
        <f t="shared" si="150"/>
        <v/>
      </c>
    </row>
    <row r="957" spans="1:45">
      <c r="A957" s="294"/>
      <c r="B957" s="295"/>
      <c r="C957" s="296"/>
      <c r="D957" s="296"/>
      <c r="E957" s="296"/>
      <c r="F957" s="296"/>
      <c r="G957" s="297"/>
      <c r="H957" s="303"/>
      <c r="I957" s="298"/>
      <c r="J957" s="298"/>
      <c r="K957" s="299"/>
      <c r="L957" s="304"/>
      <c r="M957" s="300"/>
      <c r="N957" s="301"/>
      <c r="P957" s="193" t="str">
        <f>IF(R957 = "", "", COUNT(R$4:$R957))</f>
        <v/>
      </c>
      <c r="Q957" s="193" t="str">
        <f t="shared" si="141"/>
        <v/>
      </c>
      <c r="R957" s="194" t="str">
        <f t="shared" si="142"/>
        <v/>
      </c>
      <c r="S957" s="195" t="str">
        <f t="shared" si="144"/>
        <v/>
      </c>
      <c r="T957" s="196" t="str">
        <f t="shared" si="145"/>
        <v/>
      </c>
      <c r="U957" s="197" t="str">
        <f t="shared" si="146"/>
        <v/>
      </c>
      <c r="V957" s="198" t="str">
        <f t="shared" si="143"/>
        <v/>
      </c>
      <c r="W957" s="339" t="str">
        <f t="shared" si="147"/>
        <v/>
      </c>
      <c r="X957" s="341" t="str">
        <f t="shared" si="148"/>
        <v/>
      </c>
      <c r="Y957" s="277"/>
      <c r="AR957" t="str">
        <f t="shared" si="149"/>
        <v/>
      </c>
      <c r="AS957" t="str">
        <f t="shared" si="150"/>
        <v/>
      </c>
    </row>
    <row r="958" spans="1:45">
      <c r="A958" s="294"/>
      <c r="B958" s="295"/>
      <c r="C958" s="296"/>
      <c r="D958" s="296"/>
      <c r="E958" s="296"/>
      <c r="F958" s="296"/>
      <c r="G958" s="297"/>
      <c r="H958" s="303"/>
      <c r="I958" s="298"/>
      <c r="J958" s="298"/>
      <c r="K958" s="299"/>
      <c r="L958" s="304"/>
      <c r="M958" s="300"/>
      <c r="N958" s="301"/>
      <c r="P958" s="193" t="str">
        <f>IF(R958 = "", "", COUNT(R$4:$R958))</f>
        <v/>
      </c>
      <c r="Q958" s="193" t="str">
        <f t="shared" si="141"/>
        <v/>
      </c>
      <c r="R958" s="194" t="str">
        <f t="shared" si="142"/>
        <v/>
      </c>
      <c r="S958" s="195" t="str">
        <f t="shared" si="144"/>
        <v/>
      </c>
      <c r="T958" s="196" t="str">
        <f t="shared" si="145"/>
        <v/>
      </c>
      <c r="U958" s="197" t="str">
        <f t="shared" si="146"/>
        <v/>
      </c>
      <c r="V958" s="198" t="str">
        <f t="shared" si="143"/>
        <v/>
      </c>
      <c r="W958" s="339" t="str">
        <f t="shared" si="147"/>
        <v/>
      </c>
      <c r="X958" s="341" t="str">
        <f t="shared" si="148"/>
        <v/>
      </c>
      <c r="Y958" s="277"/>
      <c r="AR958" t="str">
        <f t="shared" si="149"/>
        <v/>
      </c>
      <c r="AS958" t="str">
        <f t="shared" si="150"/>
        <v/>
      </c>
    </row>
    <row r="959" spans="1:45">
      <c r="A959" s="294"/>
      <c r="B959" s="295"/>
      <c r="C959" s="296"/>
      <c r="D959" s="296"/>
      <c r="E959" s="296"/>
      <c r="F959" s="296"/>
      <c r="G959" s="297"/>
      <c r="H959" s="303"/>
      <c r="I959" s="298"/>
      <c r="J959" s="298"/>
      <c r="K959" s="299"/>
      <c r="L959" s="304"/>
      <c r="M959" s="300"/>
      <c r="N959" s="301"/>
      <c r="P959" s="193" t="str">
        <f>IF(R959 = "", "", COUNT(R$4:$R959))</f>
        <v/>
      </c>
      <c r="Q959" s="193" t="str">
        <f t="shared" si="141"/>
        <v/>
      </c>
      <c r="R959" s="194" t="str">
        <f t="shared" si="142"/>
        <v/>
      </c>
      <c r="S959" s="195" t="str">
        <f t="shared" si="144"/>
        <v/>
      </c>
      <c r="T959" s="196" t="str">
        <f t="shared" si="145"/>
        <v/>
      </c>
      <c r="U959" s="197" t="str">
        <f t="shared" si="146"/>
        <v/>
      </c>
      <c r="V959" s="198" t="str">
        <f t="shared" si="143"/>
        <v/>
      </c>
      <c r="W959" s="339" t="str">
        <f t="shared" si="147"/>
        <v/>
      </c>
      <c r="X959" s="341" t="str">
        <f t="shared" si="148"/>
        <v/>
      </c>
      <c r="Y959" s="277"/>
      <c r="AR959" t="str">
        <f t="shared" si="149"/>
        <v/>
      </c>
      <c r="AS959" t="str">
        <f t="shared" si="150"/>
        <v/>
      </c>
    </row>
    <row r="960" spans="1:45">
      <c r="A960" s="294"/>
      <c r="B960" s="295"/>
      <c r="C960" s="296"/>
      <c r="D960" s="296"/>
      <c r="E960" s="296"/>
      <c r="F960" s="296"/>
      <c r="G960" s="297"/>
      <c r="H960" s="303"/>
      <c r="I960" s="298"/>
      <c r="J960" s="298"/>
      <c r="K960" s="299"/>
      <c r="L960" s="304"/>
      <c r="M960" s="300"/>
      <c r="N960" s="301"/>
      <c r="P960" s="193" t="str">
        <f>IF(R960 = "", "", COUNT(R$4:$R960))</f>
        <v/>
      </c>
      <c r="Q960" s="193" t="str">
        <f t="shared" si="141"/>
        <v/>
      </c>
      <c r="R960" s="194" t="str">
        <f t="shared" si="142"/>
        <v/>
      </c>
      <c r="S960" s="195" t="str">
        <f t="shared" si="144"/>
        <v/>
      </c>
      <c r="T960" s="196" t="str">
        <f t="shared" si="145"/>
        <v/>
      </c>
      <c r="U960" s="197" t="str">
        <f t="shared" si="146"/>
        <v/>
      </c>
      <c r="V960" s="198" t="str">
        <f t="shared" si="143"/>
        <v/>
      </c>
      <c r="W960" s="339" t="str">
        <f t="shared" si="147"/>
        <v/>
      </c>
      <c r="X960" s="341" t="str">
        <f t="shared" si="148"/>
        <v/>
      </c>
      <c r="Y960" s="277"/>
      <c r="AR960" t="str">
        <f t="shared" si="149"/>
        <v/>
      </c>
      <c r="AS960" t="str">
        <f t="shared" si="150"/>
        <v/>
      </c>
    </row>
    <row r="961" spans="1:45">
      <c r="A961" s="294"/>
      <c r="B961" s="295"/>
      <c r="C961" s="296"/>
      <c r="D961" s="296"/>
      <c r="E961" s="296"/>
      <c r="F961" s="296"/>
      <c r="G961" s="297"/>
      <c r="H961" s="303"/>
      <c r="I961" s="298"/>
      <c r="J961" s="298"/>
      <c r="K961" s="299"/>
      <c r="L961" s="304"/>
      <c r="M961" s="300"/>
      <c r="N961" s="301"/>
      <c r="P961" s="193" t="str">
        <f>IF(R961 = "", "", COUNT(R$4:$R961))</f>
        <v/>
      </c>
      <c r="Q961" s="193" t="str">
        <f t="shared" si="141"/>
        <v/>
      </c>
      <c r="R961" s="194" t="str">
        <f t="shared" si="142"/>
        <v/>
      </c>
      <c r="S961" s="195" t="str">
        <f t="shared" si="144"/>
        <v/>
      </c>
      <c r="T961" s="196" t="str">
        <f t="shared" si="145"/>
        <v/>
      </c>
      <c r="U961" s="197" t="str">
        <f t="shared" si="146"/>
        <v/>
      </c>
      <c r="V961" s="198" t="str">
        <f t="shared" si="143"/>
        <v/>
      </c>
      <c r="W961" s="339" t="str">
        <f t="shared" si="147"/>
        <v/>
      </c>
      <c r="X961" s="341" t="str">
        <f t="shared" si="148"/>
        <v/>
      </c>
      <c r="Y961" s="277"/>
      <c r="AR961" t="str">
        <f t="shared" si="149"/>
        <v/>
      </c>
      <c r="AS961" t="str">
        <f t="shared" si="150"/>
        <v/>
      </c>
    </row>
    <row r="962" spans="1:45">
      <c r="A962" s="294"/>
      <c r="B962" s="295"/>
      <c r="C962" s="296"/>
      <c r="D962" s="296"/>
      <c r="E962" s="296"/>
      <c r="F962" s="296"/>
      <c r="G962" s="297"/>
      <c r="H962" s="303"/>
      <c r="I962" s="298"/>
      <c r="J962" s="298"/>
      <c r="K962" s="299"/>
      <c r="L962" s="304"/>
      <c r="M962" s="300"/>
      <c r="N962" s="301"/>
      <c r="P962" s="193" t="str">
        <f>IF(R962 = "", "", COUNT(R$4:$R962))</f>
        <v/>
      </c>
      <c r="Q962" s="193" t="str">
        <f t="shared" si="141"/>
        <v/>
      </c>
      <c r="R962" s="194" t="str">
        <f t="shared" si="142"/>
        <v/>
      </c>
      <c r="S962" s="195" t="str">
        <f t="shared" si="144"/>
        <v/>
      </c>
      <c r="T962" s="196" t="str">
        <f t="shared" si="145"/>
        <v/>
      </c>
      <c r="U962" s="197" t="str">
        <f t="shared" si="146"/>
        <v/>
      </c>
      <c r="V962" s="198" t="str">
        <f t="shared" si="143"/>
        <v/>
      </c>
      <c r="W962" s="339" t="str">
        <f t="shared" si="147"/>
        <v/>
      </c>
      <c r="X962" s="341" t="str">
        <f t="shared" si="148"/>
        <v/>
      </c>
      <c r="Y962" s="277"/>
      <c r="AR962" t="str">
        <f t="shared" si="149"/>
        <v/>
      </c>
      <c r="AS962" t="str">
        <f t="shared" si="150"/>
        <v/>
      </c>
    </row>
    <row r="963" spans="1:45">
      <c r="A963" s="294"/>
      <c r="B963" s="295"/>
      <c r="C963" s="296"/>
      <c r="D963" s="296"/>
      <c r="E963" s="296"/>
      <c r="F963" s="296"/>
      <c r="G963" s="297"/>
      <c r="H963" s="303"/>
      <c r="I963" s="298"/>
      <c r="J963" s="298"/>
      <c r="K963" s="299"/>
      <c r="L963" s="304"/>
      <c r="M963" s="300"/>
      <c r="N963" s="301"/>
      <c r="P963" s="193" t="str">
        <f>IF(R963 = "", "", COUNT(R$4:$R963))</f>
        <v/>
      </c>
      <c r="Q963" s="193" t="str">
        <f t="shared" si="141"/>
        <v/>
      </c>
      <c r="R963" s="194" t="str">
        <f t="shared" si="142"/>
        <v/>
      </c>
      <c r="S963" s="195" t="str">
        <f t="shared" si="144"/>
        <v/>
      </c>
      <c r="T963" s="196" t="str">
        <f t="shared" si="145"/>
        <v/>
      </c>
      <c r="U963" s="197" t="str">
        <f t="shared" si="146"/>
        <v/>
      </c>
      <c r="V963" s="198" t="str">
        <f t="shared" si="143"/>
        <v/>
      </c>
      <c r="W963" s="339" t="str">
        <f t="shared" si="147"/>
        <v/>
      </c>
      <c r="X963" s="341" t="str">
        <f t="shared" si="148"/>
        <v/>
      </c>
      <c r="Y963" s="277"/>
      <c r="AR963" t="str">
        <f t="shared" si="149"/>
        <v/>
      </c>
      <c r="AS963" t="str">
        <f t="shared" si="150"/>
        <v/>
      </c>
    </row>
    <row r="964" spans="1:45">
      <c r="A964" s="294"/>
      <c r="B964" s="295"/>
      <c r="C964" s="296"/>
      <c r="D964" s="296"/>
      <c r="E964" s="296"/>
      <c r="F964" s="296"/>
      <c r="G964" s="297"/>
      <c r="H964" s="303"/>
      <c r="I964" s="298"/>
      <c r="J964" s="298"/>
      <c r="K964" s="299"/>
      <c r="L964" s="304"/>
      <c r="M964" s="300"/>
      <c r="N964" s="301"/>
      <c r="P964" s="193" t="str">
        <f>IF(R964 = "", "", COUNT(R$4:$R964))</f>
        <v/>
      </c>
      <c r="Q964" s="193" t="str">
        <f t="shared" ref="Q964:Q1003" si="151">IF(C964 &gt; 0, YEAR(B964), "")</f>
        <v/>
      </c>
      <c r="R964" s="194" t="str">
        <f t="shared" ref="R964:R1003" si="152">IF(A964="", "", IF(G964="",1,IF(G964="O",1,IF(G964="C",8.4,IF(G964="B",8.4,IF(G964="A",76.8,IF(G964="K",76.8,"ERR")))))))</f>
        <v/>
      </c>
      <c r="S964" s="195" t="str">
        <f t="shared" si="144"/>
        <v/>
      </c>
      <c r="T964" s="196" t="str">
        <f t="shared" si="145"/>
        <v/>
      </c>
      <c r="U964" s="197" t="str">
        <f t="shared" si="146"/>
        <v/>
      </c>
      <c r="V964" s="198" t="str">
        <f t="shared" ref="V964:V1003" si="153">IF(IF(M964&lt;&gt;"",G964,"")=0, "O", IF(M964&lt;&gt;"",G964,""))</f>
        <v/>
      </c>
      <c r="W964" s="339" t="str">
        <f t="shared" si="147"/>
        <v/>
      </c>
      <c r="X964" s="341" t="str">
        <f t="shared" si="148"/>
        <v/>
      </c>
      <c r="Y964" s="277"/>
      <c r="AR964" t="str">
        <f t="shared" si="149"/>
        <v/>
      </c>
      <c r="AS964" t="str">
        <f t="shared" si="150"/>
        <v/>
      </c>
    </row>
    <row r="965" spans="1:45">
      <c r="A965" s="294"/>
      <c r="B965" s="295"/>
      <c r="C965" s="296"/>
      <c r="D965" s="296"/>
      <c r="E965" s="296"/>
      <c r="F965" s="296"/>
      <c r="G965" s="297"/>
      <c r="H965" s="303"/>
      <c r="I965" s="298"/>
      <c r="J965" s="298"/>
      <c r="K965" s="299"/>
      <c r="L965" s="304"/>
      <c r="M965" s="300"/>
      <c r="N965" s="301"/>
      <c r="P965" s="193" t="str">
        <f>IF(R965 = "", "", COUNT(R$4:$R965))</f>
        <v/>
      </c>
      <c r="Q965" s="193" t="str">
        <f t="shared" si="151"/>
        <v/>
      </c>
      <c r="R965" s="194" t="str">
        <f t="shared" si="152"/>
        <v/>
      </c>
      <c r="S965" s="195" t="str">
        <f t="shared" ref="S965:S1003" si="154">IF(L965&lt;&gt;"",R965,"")</f>
        <v/>
      </c>
      <c r="T965" s="196" t="str">
        <f t="shared" ref="T965:T1003" si="155">IF(IF(L965&lt;&gt;"",G965,"")=0, "O", IF(L965&lt;&gt;"",G965,""))</f>
        <v/>
      </c>
      <c r="U965" s="197" t="str">
        <f t="shared" ref="U965:U1003" si="156">IF(M965&lt;&gt;"",R965,"")</f>
        <v/>
      </c>
      <c r="V965" s="198" t="str">
        <f t="shared" si="153"/>
        <v/>
      </c>
      <c r="W965" s="339" t="str">
        <f t="shared" ref="W965:W1003" si="157">IF(N965&lt;&gt;"",R965,"")</f>
        <v/>
      </c>
      <c r="X965" s="341" t="str">
        <f t="shared" ref="X965:X1003" si="158">IF(IF(N965&lt;&gt;"",G965,"")=0, "O", IF(N965&lt;&gt;"",G965,""))</f>
        <v/>
      </c>
      <c r="Y965" s="277"/>
      <c r="AR965" t="str">
        <f t="shared" ref="AR965:AR1003" si="159">IF(P965&gt;0, P965, "")</f>
        <v/>
      </c>
      <c r="AS965" t="str">
        <f t="shared" ref="AS965:AS1003" si="160">IF(OR(L965="Y",M965="Y",N965="Y"),"Y","")</f>
        <v/>
      </c>
    </row>
    <row r="966" spans="1:45">
      <c r="A966" s="294"/>
      <c r="B966" s="295"/>
      <c r="C966" s="296"/>
      <c r="D966" s="296"/>
      <c r="E966" s="296"/>
      <c r="F966" s="296"/>
      <c r="G966" s="297"/>
      <c r="H966" s="303"/>
      <c r="I966" s="298"/>
      <c r="J966" s="298"/>
      <c r="K966" s="299"/>
      <c r="L966" s="304"/>
      <c r="M966" s="300"/>
      <c r="N966" s="301"/>
      <c r="P966" s="193" t="str">
        <f>IF(R966 = "", "", COUNT(R$4:$R966))</f>
        <v/>
      </c>
      <c r="Q966" s="193" t="str">
        <f t="shared" si="151"/>
        <v/>
      </c>
      <c r="R966" s="194" t="str">
        <f t="shared" si="152"/>
        <v/>
      </c>
      <c r="S966" s="195" t="str">
        <f t="shared" si="154"/>
        <v/>
      </c>
      <c r="T966" s="196" t="str">
        <f t="shared" si="155"/>
        <v/>
      </c>
      <c r="U966" s="197" t="str">
        <f t="shared" si="156"/>
        <v/>
      </c>
      <c r="V966" s="198" t="str">
        <f t="shared" si="153"/>
        <v/>
      </c>
      <c r="W966" s="339" t="str">
        <f t="shared" si="157"/>
        <v/>
      </c>
      <c r="X966" s="341" t="str">
        <f t="shared" si="158"/>
        <v/>
      </c>
      <c r="Y966" s="277"/>
      <c r="AR966" t="str">
        <f t="shared" si="159"/>
        <v/>
      </c>
      <c r="AS966" t="str">
        <f t="shared" si="160"/>
        <v/>
      </c>
    </row>
    <row r="967" spans="1:45">
      <c r="A967" s="294"/>
      <c r="B967" s="295"/>
      <c r="C967" s="296"/>
      <c r="D967" s="296"/>
      <c r="E967" s="296"/>
      <c r="F967" s="296"/>
      <c r="G967" s="297"/>
      <c r="H967" s="303"/>
      <c r="I967" s="298"/>
      <c r="J967" s="298"/>
      <c r="K967" s="299"/>
      <c r="L967" s="304"/>
      <c r="M967" s="300"/>
      <c r="N967" s="301"/>
      <c r="P967" s="193" t="str">
        <f>IF(R967 = "", "", COUNT(R$4:$R967))</f>
        <v/>
      </c>
      <c r="Q967" s="193" t="str">
        <f t="shared" si="151"/>
        <v/>
      </c>
      <c r="R967" s="194" t="str">
        <f t="shared" si="152"/>
        <v/>
      </c>
      <c r="S967" s="195" t="str">
        <f t="shared" si="154"/>
        <v/>
      </c>
      <c r="T967" s="196" t="str">
        <f t="shared" si="155"/>
        <v/>
      </c>
      <c r="U967" s="197" t="str">
        <f t="shared" si="156"/>
        <v/>
      </c>
      <c r="V967" s="198" t="str">
        <f t="shared" si="153"/>
        <v/>
      </c>
      <c r="W967" s="339" t="str">
        <f t="shared" si="157"/>
        <v/>
      </c>
      <c r="X967" s="341" t="str">
        <f t="shared" si="158"/>
        <v/>
      </c>
      <c r="Y967" s="277"/>
      <c r="AR967" t="str">
        <f t="shared" si="159"/>
        <v/>
      </c>
      <c r="AS967" t="str">
        <f t="shared" si="160"/>
        <v/>
      </c>
    </row>
    <row r="968" spans="1:45">
      <c r="A968" s="294"/>
      <c r="B968" s="295"/>
      <c r="C968" s="296"/>
      <c r="D968" s="296"/>
      <c r="E968" s="296"/>
      <c r="F968" s="296"/>
      <c r="G968" s="297"/>
      <c r="H968" s="303"/>
      <c r="I968" s="298"/>
      <c r="J968" s="298"/>
      <c r="K968" s="299"/>
      <c r="L968" s="304"/>
      <c r="M968" s="300"/>
      <c r="N968" s="301"/>
      <c r="P968" s="193" t="str">
        <f>IF(R968 = "", "", COUNT(R$4:$R968))</f>
        <v/>
      </c>
      <c r="Q968" s="193" t="str">
        <f t="shared" si="151"/>
        <v/>
      </c>
      <c r="R968" s="194" t="str">
        <f t="shared" si="152"/>
        <v/>
      </c>
      <c r="S968" s="195" t="str">
        <f t="shared" si="154"/>
        <v/>
      </c>
      <c r="T968" s="196" t="str">
        <f t="shared" si="155"/>
        <v/>
      </c>
      <c r="U968" s="197" t="str">
        <f t="shared" si="156"/>
        <v/>
      </c>
      <c r="V968" s="198" t="str">
        <f t="shared" si="153"/>
        <v/>
      </c>
      <c r="W968" s="339" t="str">
        <f t="shared" si="157"/>
        <v/>
      </c>
      <c r="X968" s="341" t="str">
        <f t="shared" si="158"/>
        <v/>
      </c>
      <c r="Y968" s="277"/>
      <c r="AR968" t="str">
        <f t="shared" si="159"/>
        <v/>
      </c>
      <c r="AS968" t="str">
        <f t="shared" si="160"/>
        <v/>
      </c>
    </row>
    <row r="969" spans="1:45">
      <c r="A969" s="294"/>
      <c r="B969" s="295"/>
      <c r="C969" s="296"/>
      <c r="D969" s="296"/>
      <c r="E969" s="296"/>
      <c r="F969" s="296"/>
      <c r="G969" s="297"/>
      <c r="H969" s="303"/>
      <c r="I969" s="298"/>
      <c r="J969" s="298"/>
      <c r="K969" s="299"/>
      <c r="L969" s="304"/>
      <c r="M969" s="300"/>
      <c r="N969" s="301"/>
      <c r="P969" s="193" t="str">
        <f>IF(R969 = "", "", COUNT(R$4:$R969))</f>
        <v/>
      </c>
      <c r="Q969" s="193" t="str">
        <f t="shared" si="151"/>
        <v/>
      </c>
      <c r="R969" s="194" t="str">
        <f t="shared" si="152"/>
        <v/>
      </c>
      <c r="S969" s="195" t="str">
        <f t="shared" si="154"/>
        <v/>
      </c>
      <c r="T969" s="196" t="str">
        <f t="shared" si="155"/>
        <v/>
      </c>
      <c r="U969" s="197" t="str">
        <f t="shared" si="156"/>
        <v/>
      </c>
      <c r="V969" s="198" t="str">
        <f t="shared" si="153"/>
        <v/>
      </c>
      <c r="W969" s="339" t="str">
        <f t="shared" si="157"/>
        <v/>
      </c>
      <c r="X969" s="341" t="str">
        <f t="shared" si="158"/>
        <v/>
      </c>
      <c r="Y969" s="277"/>
      <c r="AR969" t="str">
        <f t="shared" si="159"/>
        <v/>
      </c>
      <c r="AS969" t="str">
        <f t="shared" si="160"/>
        <v/>
      </c>
    </row>
    <row r="970" spans="1:45">
      <c r="A970" s="294"/>
      <c r="B970" s="295"/>
      <c r="C970" s="296"/>
      <c r="D970" s="296"/>
      <c r="E970" s="296"/>
      <c r="F970" s="296"/>
      <c r="G970" s="297"/>
      <c r="H970" s="303"/>
      <c r="I970" s="298"/>
      <c r="J970" s="298"/>
      <c r="K970" s="299"/>
      <c r="L970" s="304"/>
      <c r="M970" s="300"/>
      <c r="N970" s="301"/>
      <c r="P970" s="193" t="str">
        <f>IF(R970 = "", "", COUNT(R$4:$R970))</f>
        <v/>
      </c>
      <c r="Q970" s="193" t="str">
        <f t="shared" si="151"/>
        <v/>
      </c>
      <c r="R970" s="194" t="str">
        <f t="shared" si="152"/>
        <v/>
      </c>
      <c r="S970" s="195" t="str">
        <f t="shared" si="154"/>
        <v/>
      </c>
      <c r="T970" s="196" t="str">
        <f t="shared" si="155"/>
        <v/>
      </c>
      <c r="U970" s="197" t="str">
        <f t="shared" si="156"/>
        <v/>
      </c>
      <c r="V970" s="198" t="str">
        <f t="shared" si="153"/>
        <v/>
      </c>
      <c r="W970" s="339" t="str">
        <f t="shared" si="157"/>
        <v/>
      </c>
      <c r="X970" s="341" t="str">
        <f t="shared" si="158"/>
        <v/>
      </c>
      <c r="Y970" s="277"/>
      <c r="AR970" t="str">
        <f t="shared" si="159"/>
        <v/>
      </c>
      <c r="AS970" t="str">
        <f t="shared" si="160"/>
        <v/>
      </c>
    </row>
    <row r="971" spans="1:45">
      <c r="A971" s="294"/>
      <c r="B971" s="295"/>
      <c r="C971" s="296"/>
      <c r="D971" s="296"/>
      <c r="E971" s="296"/>
      <c r="F971" s="296"/>
      <c r="G971" s="297"/>
      <c r="H971" s="303"/>
      <c r="I971" s="298"/>
      <c r="J971" s="298"/>
      <c r="K971" s="299"/>
      <c r="L971" s="304"/>
      <c r="M971" s="300"/>
      <c r="N971" s="301"/>
      <c r="P971" s="193" t="str">
        <f>IF(R971 = "", "", COUNT(R$4:$R971))</f>
        <v/>
      </c>
      <c r="Q971" s="193" t="str">
        <f t="shared" si="151"/>
        <v/>
      </c>
      <c r="R971" s="194" t="str">
        <f t="shared" si="152"/>
        <v/>
      </c>
      <c r="S971" s="195" t="str">
        <f t="shared" si="154"/>
        <v/>
      </c>
      <c r="T971" s="196" t="str">
        <f t="shared" si="155"/>
        <v/>
      </c>
      <c r="U971" s="197" t="str">
        <f t="shared" si="156"/>
        <v/>
      </c>
      <c r="V971" s="198" t="str">
        <f t="shared" si="153"/>
        <v/>
      </c>
      <c r="W971" s="339" t="str">
        <f t="shared" si="157"/>
        <v/>
      </c>
      <c r="X971" s="341" t="str">
        <f t="shared" si="158"/>
        <v/>
      </c>
      <c r="Y971" s="277"/>
      <c r="AR971" t="str">
        <f t="shared" si="159"/>
        <v/>
      </c>
      <c r="AS971" t="str">
        <f t="shared" si="160"/>
        <v/>
      </c>
    </row>
    <row r="972" spans="1:45">
      <c r="A972" s="294"/>
      <c r="B972" s="295"/>
      <c r="C972" s="296"/>
      <c r="D972" s="296"/>
      <c r="E972" s="296"/>
      <c r="F972" s="296"/>
      <c r="G972" s="297"/>
      <c r="H972" s="303"/>
      <c r="I972" s="298"/>
      <c r="J972" s="298"/>
      <c r="K972" s="299"/>
      <c r="L972" s="304"/>
      <c r="M972" s="300"/>
      <c r="N972" s="301"/>
      <c r="P972" s="193" t="str">
        <f>IF(R972 = "", "", COUNT(R$4:$R972))</f>
        <v/>
      </c>
      <c r="Q972" s="193" t="str">
        <f t="shared" si="151"/>
        <v/>
      </c>
      <c r="R972" s="194" t="str">
        <f t="shared" si="152"/>
        <v/>
      </c>
      <c r="S972" s="195" t="str">
        <f t="shared" si="154"/>
        <v/>
      </c>
      <c r="T972" s="196" t="str">
        <f t="shared" si="155"/>
        <v/>
      </c>
      <c r="U972" s="197" t="str">
        <f t="shared" si="156"/>
        <v/>
      </c>
      <c r="V972" s="198" t="str">
        <f t="shared" si="153"/>
        <v/>
      </c>
      <c r="W972" s="339" t="str">
        <f t="shared" si="157"/>
        <v/>
      </c>
      <c r="X972" s="341" t="str">
        <f t="shared" si="158"/>
        <v/>
      </c>
      <c r="Y972" s="277"/>
      <c r="AR972" t="str">
        <f t="shared" si="159"/>
        <v/>
      </c>
      <c r="AS972" t="str">
        <f t="shared" si="160"/>
        <v/>
      </c>
    </row>
    <row r="973" spans="1:45">
      <c r="A973" s="294"/>
      <c r="B973" s="295"/>
      <c r="C973" s="296"/>
      <c r="D973" s="296"/>
      <c r="E973" s="296"/>
      <c r="F973" s="296"/>
      <c r="G973" s="297"/>
      <c r="H973" s="303"/>
      <c r="I973" s="298"/>
      <c r="J973" s="298"/>
      <c r="K973" s="299"/>
      <c r="L973" s="304"/>
      <c r="M973" s="300"/>
      <c r="N973" s="301"/>
      <c r="P973" s="193" t="str">
        <f>IF(R973 = "", "", COUNT(R$4:$R973))</f>
        <v/>
      </c>
      <c r="Q973" s="193" t="str">
        <f t="shared" si="151"/>
        <v/>
      </c>
      <c r="R973" s="194" t="str">
        <f t="shared" si="152"/>
        <v/>
      </c>
      <c r="S973" s="195" t="str">
        <f t="shared" si="154"/>
        <v/>
      </c>
      <c r="T973" s="196" t="str">
        <f t="shared" si="155"/>
        <v/>
      </c>
      <c r="U973" s="197" t="str">
        <f t="shared" si="156"/>
        <v/>
      </c>
      <c r="V973" s="198" t="str">
        <f t="shared" si="153"/>
        <v/>
      </c>
      <c r="W973" s="339" t="str">
        <f t="shared" si="157"/>
        <v/>
      </c>
      <c r="X973" s="341" t="str">
        <f t="shared" si="158"/>
        <v/>
      </c>
      <c r="Y973" s="277"/>
      <c r="AR973" t="str">
        <f t="shared" si="159"/>
        <v/>
      </c>
      <c r="AS973" t="str">
        <f t="shared" si="160"/>
        <v/>
      </c>
    </row>
    <row r="974" spans="1:45">
      <c r="A974" s="294"/>
      <c r="B974" s="295"/>
      <c r="C974" s="296"/>
      <c r="D974" s="296"/>
      <c r="E974" s="296"/>
      <c r="F974" s="296"/>
      <c r="G974" s="297"/>
      <c r="H974" s="303"/>
      <c r="I974" s="298"/>
      <c r="J974" s="298"/>
      <c r="K974" s="299"/>
      <c r="L974" s="304"/>
      <c r="M974" s="300"/>
      <c r="N974" s="301"/>
      <c r="P974" s="193" t="str">
        <f>IF(R974 = "", "", COUNT(R$4:$R974))</f>
        <v/>
      </c>
      <c r="Q974" s="193" t="str">
        <f t="shared" si="151"/>
        <v/>
      </c>
      <c r="R974" s="194" t="str">
        <f t="shared" si="152"/>
        <v/>
      </c>
      <c r="S974" s="195" t="str">
        <f t="shared" si="154"/>
        <v/>
      </c>
      <c r="T974" s="196" t="str">
        <f t="shared" si="155"/>
        <v/>
      </c>
      <c r="U974" s="197" t="str">
        <f t="shared" si="156"/>
        <v/>
      </c>
      <c r="V974" s="198" t="str">
        <f t="shared" si="153"/>
        <v/>
      </c>
      <c r="W974" s="339" t="str">
        <f t="shared" si="157"/>
        <v/>
      </c>
      <c r="X974" s="341" t="str">
        <f t="shared" si="158"/>
        <v/>
      </c>
      <c r="Y974" s="277"/>
      <c r="AR974" t="str">
        <f t="shared" si="159"/>
        <v/>
      </c>
      <c r="AS974" t="str">
        <f t="shared" si="160"/>
        <v/>
      </c>
    </row>
    <row r="975" spans="1:45">
      <c r="A975" s="294"/>
      <c r="B975" s="295"/>
      <c r="C975" s="296"/>
      <c r="D975" s="296"/>
      <c r="E975" s="296"/>
      <c r="F975" s="296"/>
      <c r="G975" s="297"/>
      <c r="H975" s="303"/>
      <c r="I975" s="298"/>
      <c r="J975" s="298"/>
      <c r="K975" s="299"/>
      <c r="L975" s="304"/>
      <c r="M975" s="300"/>
      <c r="N975" s="301"/>
      <c r="P975" s="193" t="str">
        <f>IF(R975 = "", "", COUNT(R$4:$R975))</f>
        <v/>
      </c>
      <c r="Q975" s="193" t="str">
        <f t="shared" si="151"/>
        <v/>
      </c>
      <c r="R975" s="194" t="str">
        <f t="shared" si="152"/>
        <v/>
      </c>
      <c r="S975" s="195" t="str">
        <f t="shared" si="154"/>
        <v/>
      </c>
      <c r="T975" s="196" t="str">
        <f t="shared" si="155"/>
        <v/>
      </c>
      <c r="U975" s="197" t="str">
        <f t="shared" si="156"/>
        <v/>
      </c>
      <c r="V975" s="198" t="str">
        <f t="shared" si="153"/>
        <v/>
      </c>
      <c r="W975" s="339" t="str">
        <f t="shared" si="157"/>
        <v/>
      </c>
      <c r="X975" s="341" t="str">
        <f t="shared" si="158"/>
        <v/>
      </c>
      <c r="Y975" s="277"/>
      <c r="AR975" t="str">
        <f t="shared" si="159"/>
        <v/>
      </c>
      <c r="AS975" t="str">
        <f t="shared" si="160"/>
        <v/>
      </c>
    </row>
    <row r="976" spans="1:45">
      <c r="A976" s="294"/>
      <c r="B976" s="295"/>
      <c r="C976" s="296"/>
      <c r="D976" s="296"/>
      <c r="E976" s="296"/>
      <c r="F976" s="296"/>
      <c r="G976" s="297"/>
      <c r="H976" s="303"/>
      <c r="I976" s="298"/>
      <c r="J976" s="298"/>
      <c r="K976" s="299"/>
      <c r="L976" s="304"/>
      <c r="M976" s="300"/>
      <c r="N976" s="301"/>
      <c r="P976" s="193" t="str">
        <f>IF(R976 = "", "", COUNT(R$4:$R976))</f>
        <v/>
      </c>
      <c r="Q976" s="193" t="str">
        <f t="shared" si="151"/>
        <v/>
      </c>
      <c r="R976" s="194" t="str">
        <f t="shared" si="152"/>
        <v/>
      </c>
      <c r="S976" s="195" t="str">
        <f t="shared" si="154"/>
        <v/>
      </c>
      <c r="T976" s="196" t="str">
        <f t="shared" si="155"/>
        <v/>
      </c>
      <c r="U976" s="197" t="str">
        <f t="shared" si="156"/>
        <v/>
      </c>
      <c r="V976" s="198" t="str">
        <f t="shared" si="153"/>
        <v/>
      </c>
      <c r="W976" s="339" t="str">
        <f t="shared" si="157"/>
        <v/>
      </c>
      <c r="X976" s="341" t="str">
        <f t="shared" si="158"/>
        <v/>
      </c>
      <c r="Y976" s="277"/>
      <c r="AR976" t="str">
        <f t="shared" si="159"/>
        <v/>
      </c>
      <c r="AS976" t="str">
        <f t="shared" si="160"/>
        <v/>
      </c>
    </row>
    <row r="977" spans="1:45">
      <c r="A977" s="294"/>
      <c r="B977" s="295"/>
      <c r="C977" s="296"/>
      <c r="D977" s="296"/>
      <c r="E977" s="296"/>
      <c r="F977" s="296"/>
      <c r="G977" s="297"/>
      <c r="H977" s="303"/>
      <c r="I977" s="298"/>
      <c r="J977" s="298"/>
      <c r="K977" s="299"/>
      <c r="L977" s="304"/>
      <c r="M977" s="300"/>
      <c r="N977" s="301"/>
      <c r="P977" s="193" t="str">
        <f>IF(R977 = "", "", COUNT(R$4:$R977))</f>
        <v/>
      </c>
      <c r="Q977" s="193" t="str">
        <f t="shared" si="151"/>
        <v/>
      </c>
      <c r="R977" s="194" t="str">
        <f t="shared" si="152"/>
        <v/>
      </c>
      <c r="S977" s="195" t="str">
        <f t="shared" si="154"/>
        <v/>
      </c>
      <c r="T977" s="196" t="str">
        <f t="shared" si="155"/>
        <v/>
      </c>
      <c r="U977" s="197" t="str">
        <f t="shared" si="156"/>
        <v/>
      </c>
      <c r="V977" s="198" t="str">
        <f t="shared" si="153"/>
        <v/>
      </c>
      <c r="W977" s="339" t="str">
        <f t="shared" si="157"/>
        <v/>
      </c>
      <c r="X977" s="341" t="str">
        <f t="shared" si="158"/>
        <v/>
      </c>
      <c r="Y977" s="277"/>
      <c r="AR977" t="str">
        <f t="shared" si="159"/>
        <v/>
      </c>
      <c r="AS977" t="str">
        <f t="shared" si="160"/>
        <v/>
      </c>
    </row>
    <row r="978" spans="1:45">
      <c r="A978" s="294"/>
      <c r="B978" s="295"/>
      <c r="C978" s="296"/>
      <c r="D978" s="296"/>
      <c r="E978" s="296"/>
      <c r="F978" s="296"/>
      <c r="G978" s="297"/>
      <c r="H978" s="303"/>
      <c r="I978" s="298"/>
      <c r="J978" s="298"/>
      <c r="K978" s="299"/>
      <c r="L978" s="304"/>
      <c r="M978" s="300"/>
      <c r="N978" s="301"/>
      <c r="P978" s="193" t="str">
        <f>IF(R978 = "", "", COUNT(R$4:$R978))</f>
        <v/>
      </c>
      <c r="Q978" s="193" t="str">
        <f t="shared" si="151"/>
        <v/>
      </c>
      <c r="R978" s="194" t="str">
        <f t="shared" si="152"/>
        <v/>
      </c>
      <c r="S978" s="195" t="str">
        <f t="shared" si="154"/>
        <v/>
      </c>
      <c r="T978" s="196" t="str">
        <f t="shared" si="155"/>
        <v/>
      </c>
      <c r="U978" s="197" t="str">
        <f t="shared" si="156"/>
        <v/>
      </c>
      <c r="V978" s="198" t="str">
        <f t="shared" si="153"/>
        <v/>
      </c>
      <c r="W978" s="339" t="str">
        <f t="shared" si="157"/>
        <v/>
      </c>
      <c r="X978" s="341" t="str">
        <f t="shared" si="158"/>
        <v/>
      </c>
      <c r="Y978" s="277"/>
      <c r="AR978" t="str">
        <f t="shared" si="159"/>
        <v/>
      </c>
      <c r="AS978" t="str">
        <f t="shared" si="160"/>
        <v/>
      </c>
    </row>
    <row r="979" spans="1:45">
      <c r="A979" s="294"/>
      <c r="B979" s="295"/>
      <c r="C979" s="296"/>
      <c r="D979" s="296"/>
      <c r="E979" s="296"/>
      <c r="F979" s="296"/>
      <c r="G979" s="297"/>
      <c r="H979" s="303"/>
      <c r="I979" s="298"/>
      <c r="J979" s="298"/>
      <c r="K979" s="299"/>
      <c r="L979" s="304"/>
      <c r="M979" s="300"/>
      <c r="N979" s="301"/>
      <c r="P979" s="193" t="str">
        <f>IF(R979 = "", "", COUNT(R$4:$R979))</f>
        <v/>
      </c>
      <c r="Q979" s="193" t="str">
        <f t="shared" si="151"/>
        <v/>
      </c>
      <c r="R979" s="194" t="str">
        <f t="shared" si="152"/>
        <v/>
      </c>
      <c r="S979" s="195" t="str">
        <f t="shared" si="154"/>
        <v/>
      </c>
      <c r="T979" s="196" t="str">
        <f t="shared" si="155"/>
        <v/>
      </c>
      <c r="U979" s="197" t="str">
        <f t="shared" si="156"/>
        <v/>
      </c>
      <c r="V979" s="198" t="str">
        <f t="shared" si="153"/>
        <v/>
      </c>
      <c r="W979" s="339" t="str">
        <f t="shared" si="157"/>
        <v/>
      </c>
      <c r="X979" s="341" t="str">
        <f t="shared" si="158"/>
        <v/>
      </c>
      <c r="Y979" s="277"/>
      <c r="AR979" t="str">
        <f t="shared" si="159"/>
        <v/>
      </c>
      <c r="AS979" t="str">
        <f t="shared" si="160"/>
        <v/>
      </c>
    </row>
    <row r="980" spans="1:45">
      <c r="A980" s="294"/>
      <c r="B980" s="295"/>
      <c r="C980" s="296"/>
      <c r="D980" s="296"/>
      <c r="E980" s="296"/>
      <c r="F980" s="296"/>
      <c r="G980" s="297"/>
      <c r="H980" s="303"/>
      <c r="I980" s="298"/>
      <c r="J980" s="298"/>
      <c r="K980" s="299"/>
      <c r="L980" s="304"/>
      <c r="M980" s="300"/>
      <c r="N980" s="301"/>
      <c r="P980" s="193" t="str">
        <f>IF(R980 = "", "", COUNT(R$4:$R980))</f>
        <v/>
      </c>
      <c r="Q980" s="193" t="str">
        <f t="shared" si="151"/>
        <v/>
      </c>
      <c r="R980" s="194" t="str">
        <f t="shared" si="152"/>
        <v/>
      </c>
      <c r="S980" s="195" t="str">
        <f t="shared" si="154"/>
        <v/>
      </c>
      <c r="T980" s="196" t="str">
        <f t="shared" si="155"/>
        <v/>
      </c>
      <c r="U980" s="197" t="str">
        <f t="shared" si="156"/>
        <v/>
      </c>
      <c r="V980" s="198" t="str">
        <f t="shared" si="153"/>
        <v/>
      </c>
      <c r="W980" s="339" t="str">
        <f t="shared" si="157"/>
        <v/>
      </c>
      <c r="X980" s="341" t="str">
        <f t="shared" si="158"/>
        <v/>
      </c>
      <c r="Y980" s="277"/>
      <c r="AR980" t="str">
        <f t="shared" si="159"/>
        <v/>
      </c>
      <c r="AS980" t="str">
        <f t="shared" si="160"/>
        <v/>
      </c>
    </row>
    <row r="981" spans="1:45">
      <c r="A981" s="294"/>
      <c r="B981" s="295"/>
      <c r="C981" s="296"/>
      <c r="D981" s="296"/>
      <c r="E981" s="296"/>
      <c r="F981" s="296"/>
      <c r="G981" s="297"/>
      <c r="H981" s="303"/>
      <c r="I981" s="298"/>
      <c r="J981" s="298"/>
      <c r="K981" s="299"/>
      <c r="L981" s="304"/>
      <c r="M981" s="300"/>
      <c r="N981" s="301"/>
      <c r="P981" s="193" t="str">
        <f>IF(R981 = "", "", COUNT(R$4:$R981))</f>
        <v/>
      </c>
      <c r="Q981" s="193" t="str">
        <f t="shared" si="151"/>
        <v/>
      </c>
      <c r="R981" s="194" t="str">
        <f t="shared" si="152"/>
        <v/>
      </c>
      <c r="S981" s="195" t="str">
        <f t="shared" si="154"/>
        <v/>
      </c>
      <c r="T981" s="196" t="str">
        <f t="shared" si="155"/>
        <v/>
      </c>
      <c r="U981" s="197" t="str">
        <f t="shared" si="156"/>
        <v/>
      </c>
      <c r="V981" s="198" t="str">
        <f t="shared" si="153"/>
        <v/>
      </c>
      <c r="W981" s="339" t="str">
        <f t="shared" si="157"/>
        <v/>
      </c>
      <c r="X981" s="341" t="str">
        <f t="shared" si="158"/>
        <v/>
      </c>
      <c r="Y981" s="277"/>
      <c r="AR981" t="str">
        <f t="shared" si="159"/>
        <v/>
      </c>
      <c r="AS981" t="str">
        <f t="shared" si="160"/>
        <v/>
      </c>
    </row>
    <row r="982" spans="1:45">
      <c r="A982" s="294"/>
      <c r="B982" s="295"/>
      <c r="C982" s="296"/>
      <c r="D982" s="296"/>
      <c r="E982" s="296"/>
      <c r="F982" s="296"/>
      <c r="G982" s="297"/>
      <c r="H982" s="303"/>
      <c r="I982" s="298"/>
      <c r="J982" s="298"/>
      <c r="K982" s="299"/>
      <c r="L982" s="304"/>
      <c r="M982" s="300"/>
      <c r="N982" s="301"/>
      <c r="P982" s="193" t="str">
        <f>IF(R982 = "", "", COUNT(R$4:$R982))</f>
        <v/>
      </c>
      <c r="Q982" s="193" t="str">
        <f t="shared" si="151"/>
        <v/>
      </c>
      <c r="R982" s="194" t="str">
        <f t="shared" si="152"/>
        <v/>
      </c>
      <c r="S982" s="195" t="str">
        <f t="shared" si="154"/>
        <v/>
      </c>
      <c r="T982" s="196" t="str">
        <f t="shared" si="155"/>
        <v/>
      </c>
      <c r="U982" s="197" t="str">
        <f t="shared" si="156"/>
        <v/>
      </c>
      <c r="V982" s="198" t="str">
        <f t="shared" si="153"/>
        <v/>
      </c>
      <c r="W982" s="339" t="str">
        <f t="shared" si="157"/>
        <v/>
      </c>
      <c r="X982" s="341" t="str">
        <f t="shared" si="158"/>
        <v/>
      </c>
      <c r="Y982" s="277"/>
      <c r="AR982" t="str">
        <f t="shared" si="159"/>
        <v/>
      </c>
      <c r="AS982" t="str">
        <f t="shared" si="160"/>
        <v/>
      </c>
    </row>
    <row r="983" spans="1:45">
      <c r="A983" s="294"/>
      <c r="B983" s="295"/>
      <c r="C983" s="296"/>
      <c r="D983" s="296"/>
      <c r="E983" s="296"/>
      <c r="F983" s="296"/>
      <c r="G983" s="297"/>
      <c r="H983" s="303"/>
      <c r="I983" s="298"/>
      <c r="J983" s="298"/>
      <c r="K983" s="299"/>
      <c r="L983" s="304"/>
      <c r="M983" s="300"/>
      <c r="N983" s="301"/>
      <c r="P983" s="193" t="str">
        <f>IF(R983 = "", "", COUNT(R$4:$R983))</f>
        <v/>
      </c>
      <c r="Q983" s="193" t="str">
        <f t="shared" si="151"/>
        <v/>
      </c>
      <c r="R983" s="194" t="str">
        <f t="shared" si="152"/>
        <v/>
      </c>
      <c r="S983" s="195" t="str">
        <f t="shared" si="154"/>
        <v/>
      </c>
      <c r="T983" s="196" t="str">
        <f t="shared" si="155"/>
        <v/>
      </c>
      <c r="U983" s="197" t="str">
        <f t="shared" si="156"/>
        <v/>
      </c>
      <c r="V983" s="198" t="str">
        <f t="shared" si="153"/>
        <v/>
      </c>
      <c r="W983" s="339" t="str">
        <f t="shared" si="157"/>
        <v/>
      </c>
      <c r="X983" s="341" t="str">
        <f t="shared" si="158"/>
        <v/>
      </c>
      <c r="Y983" s="277"/>
      <c r="AR983" t="str">
        <f t="shared" si="159"/>
        <v/>
      </c>
      <c r="AS983" t="str">
        <f t="shared" si="160"/>
        <v/>
      </c>
    </row>
    <row r="984" spans="1:45">
      <c r="A984" s="294"/>
      <c r="B984" s="295"/>
      <c r="C984" s="296"/>
      <c r="D984" s="296"/>
      <c r="E984" s="296"/>
      <c r="F984" s="296"/>
      <c r="G984" s="297"/>
      <c r="H984" s="303"/>
      <c r="I984" s="298"/>
      <c r="J984" s="298"/>
      <c r="K984" s="299"/>
      <c r="L984" s="304"/>
      <c r="M984" s="300"/>
      <c r="N984" s="301"/>
      <c r="P984" s="193" t="str">
        <f>IF(R984 = "", "", COUNT(R$4:$R984))</f>
        <v/>
      </c>
      <c r="Q984" s="193" t="str">
        <f t="shared" si="151"/>
        <v/>
      </c>
      <c r="R984" s="194" t="str">
        <f t="shared" si="152"/>
        <v/>
      </c>
      <c r="S984" s="195" t="str">
        <f t="shared" si="154"/>
        <v/>
      </c>
      <c r="T984" s="196" t="str">
        <f t="shared" si="155"/>
        <v/>
      </c>
      <c r="U984" s="197" t="str">
        <f t="shared" si="156"/>
        <v/>
      </c>
      <c r="V984" s="198" t="str">
        <f t="shared" si="153"/>
        <v/>
      </c>
      <c r="W984" s="339" t="str">
        <f t="shared" si="157"/>
        <v/>
      </c>
      <c r="X984" s="341" t="str">
        <f t="shared" si="158"/>
        <v/>
      </c>
      <c r="Y984" s="277"/>
      <c r="AR984" t="str">
        <f t="shared" si="159"/>
        <v/>
      </c>
      <c r="AS984" t="str">
        <f t="shared" si="160"/>
        <v/>
      </c>
    </row>
    <row r="985" spans="1:45">
      <c r="A985" s="294"/>
      <c r="B985" s="295"/>
      <c r="C985" s="296"/>
      <c r="D985" s="296"/>
      <c r="E985" s="296"/>
      <c r="F985" s="296"/>
      <c r="G985" s="297"/>
      <c r="H985" s="303"/>
      <c r="I985" s="298"/>
      <c r="J985" s="298"/>
      <c r="K985" s="299"/>
      <c r="L985" s="304"/>
      <c r="M985" s="300"/>
      <c r="N985" s="301"/>
      <c r="P985" s="193" t="str">
        <f>IF(R985 = "", "", COUNT(R$4:$R985))</f>
        <v/>
      </c>
      <c r="Q985" s="193" t="str">
        <f t="shared" si="151"/>
        <v/>
      </c>
      <c r="R985" s="194" t="str">
        <f t="shared" si="152"/>
        <v/>
      </c>
      <c r="S985" s="195" t="str">
        <f t="shared" si="154"/>
        <v/>
      </c>
      <c r="T985" s="196" t="str">
        <f t="shared" si="155"/>
        <v/>
      </c>
      <c r="U985" s="197" t="str">
        <f t="shared" si="156"/>
        <v/>
      </c>
      <c r="V985" s="198" t="str">
        <f t="shared" si="153"/>
        <v/>
      </c>
      <c r="W985" s="339" t="str">
        <f t="shared" si="157"/>
        <v/>
      </c>
      <c r="X985" s="341" t="str">
        <f t="shared" si="158"/>
        <v/>
      </c>
      <c r="Y985" s="277"/>
      <c r="AR985" t="str">
        <f t="shared" si="159"/>
        <v/>
      </c>
      <c r="AS985" t="str">
        <f t="shared" si="160"/>
        <v/>
      </c>
    </row>
    <row r="986" spans="1:45">
      <c r="A986" s="294"/>
      <c r="B986" s="295"/>
      <c r="C986" s="296"/>
      <c r="D986" s="296"/>
      <c r="E986" s="296"/>
      <c r="F986" s="296"/>
      <c r="G986" s="297"/>
      <c r="H986" s="303"/>
      <c r="I986" s="298"/>
      <c r="J986" s="298"/>
      <c r="K986" s="299"/>
      <c r="L986" s="304"/>
      <c r="M986" s="300"/>
      <c r="N986" s="301"/>
      <c r="P986" s="193" t="str">
        <f>IF(R986 = "", "", COUNT(R$4:$R986))</f>
        <v/>
      </c>
      <c r="Q986" s="193" t="str">
        <f t="shared" si="151"/>
        <v/>
      </c>
      <c r="R986" s="194" t="str">
        <f t="shared" si="152"/>
        <v/>
      </c>
      <c r="S986" s="195" t="str">
        <f t="shared" si="154"/>
        <v/>
      </c>
      <c r="T986" s="196" t="str">
        <f t="shared" si="155"/>
        <v/>
      </c>
      <c r="U986" s="197" t="str">
        <f t="shared" si="156"/>
        <v/>
      </c>
      <c r="V986" s="198" t="str">
        <f t="shared" si="153"/>
        <v/>
      </c>
      <c r="W986" s="339" t="str">
        <f t="shared" si="157"/>
        <v/>
      </c>
      <c r="X986" s="341" t="str">
        <f t="shared" si="158"/>
        <v/>
      </c>
      <c r="Y986" s="277"/>
      <c r="AR986" t="str">
        <f t="shared" si="159"/>
        <v/>
      </c>
      <c r="AS986" t="str">
        <f t="shared" si="160"/>
        <v/>
      </c>
    </row>
    <row r="987" spans="1:45">
      <c r="A987" s="294"/>
      <c r="B987" s="295"/>
      <c r="C987" s="296"/>
      <c r="D987" s="296"/>
      <c r="E987" s="296"/>
      <c r="F987" s="296"/>
      <c r="G987" s="297"/>
      <c r="H987" s="303"/>
      <c r="I987" s="298"/>
      <c r="J987" s="298"/>
      <c r="K987" s="299"/>
      <c r="L987" s="304"/>
      <c r="M987" s="300"/>
      <c r="N987" s="301"/>
      <c r="P987" s="193" t="str">
        <f>IF(R987 = "", "", COUNT(R$4:$R987))</f>
        <v/>
      </c>
      <c r="Q987" s="193" t="str">
        <f t="shared" si="151"/>
        <v/>
      </c>
      <c r="R987" s="194" t="str">
        <f t="shared" si="152"/>
        <v/>
      </c>
      <c r="S987" s="195" t="str">
        <f t="shared" si="154"/>
        <v/>
      </c>
      <c r="T987" s="196" t="str">
        <f t="shared" si="155"/>
        <v/>
      </c>
      <c r="U987" s="197" t="str">
        <f t="shared" si="156"/>
        <v/>
      </c>
      <c r="V987" s="198" t="str">
        <f t="shared" si="153"/>
        <v/>
      </c>
      <c r="W987" s="339" t="str">
        <f t="shared" si="157"/>
        <v/>
      </c>
      <c r="X987" s="341" t="str">
        <f t="shared" si="158"/>
        <v/>
      </c>
      <c r="Y987" s="277"/>
      <c r="AR987" t="str">
        <f t="shared" si="159"/>
        <v/>
      </c>
      <c r="AS987" t="str">
        <f t="shared" si="160"/>
        <v/>
      </c>
    </row>
    <row r="988" spans="1:45">
      <c r="A988" s="294"/>
      <c r="B988" s="295"/>
      <c r="C988" s="296"/>
      <c r="D988" s="296"/>
      <c r="E988" s="296"/>
      <c r="F988" s="296"/>
      <c r="G988" s="297"/>
      <c r="H988" s="303"/>
      <c r="I988" s="298"/>
      <c r="J988" s="298"/>
      <c r="K988" s="299"/>
      <c r="L988" s="304"/>
      <c r="M988" s="300"/>
      <c r="N988" s="301"/>
      <c r="P988" s="193" t="str">
        <f>IF(R988 = "", "", COUNT(R$4:$R988))</f>
        <v/>
      </c>
      <c r="Q988" s="193" t="str">
        <f t="shared" si="151"/>
        <v/>
      </c>
      <c r="R988" s="194" t="str">
        <f t="shared" si="152"/>
        <v/>
      </c>
      <c r="S988" s="195" t="str">
        <f t="shared" si="154"/>
        <v/>
      </c>
      <c r="T988" s="196" t="str">
        <f t="shared" si="155"/>
        <v/>
      </c>
      <c r="U988" s="197" t="str">
        <f t="shared" si="156"/>
        <v/>
      </c>
      <c r="V988" s="198" t="str">
        <f t="shared" si="153"/>
        <v/>
      </c>
      <c r="W988" s="339" t="str">
        <f t="shared" si="157"/>
        <v/>
      </c>
      <c r="X988" s="341" t="str">
        <f t="shared" si="158"/>
        <v/>
      </c>
      <c r="Y988" s="277"/>
      <c r="AR988" t="str">
        <f t="shared" si="159"/>
        <v/>
      </c>
      <c r="AS988" t="str">
        <f t="shared" si="160"/>
        <v/>
      </c>
    </row>
    <row r="989" spans="1:45">
      <c r="A989" s="294"/>
      <c r="B989" s="295"/>
      <c r="C989" s="296"/>
      <c r="D989" s="296"/>
      <c r="E989" s="296"/>
      <c r="F989" s="296"/>
      <c r="G989" s="297"/>
      <c r="H989" s="303"/>
      <c r="I989" s="298"/>
      <c r="J989" s="298"/>
      <c r="K989" s="299"/>
      <c r="L989" s="304"/>
      <c r="M989" s="300"/>
      <c r="N989" s="301"/>
      <c r="P989" s="193" t="str">
        <f>IF(R989 = "", "", COUNT(R$4:$R989))</f>
        <v/>
      </c>
      <c r="Q989" s="193" t="str">
        <f t="shared" si="151"/>
        <v/>
      </c>
      <c r="R989" s="194" t="str">
        <f t="shared" si="152"/>
        <v/>
      </c>
      <c r="S989" s="195" t="str">
        <f t="shared" si="154"/>
        <v/>
      </c>
      <c r="T989" s="196" t="str">
        <f t="shared" si="155"/>
        <v/>
      </c>
      <c r="U989" s="197" t="str">
        <f t="shared" si="156"/>
        <v/>
      </c>
      <c r="V989" s="198" t="str">
        <f t="shared" si="153"/>
        <v/>
      </c>
      <c r="W989" s="339" t="str">
        <f t="shared" si="157"/>
        <v/>
      </c>
      <c r="X989" s="341" t="str">
        <f t="shared" si="158"/>
        <v/>
      </c>
      <c r="Y989" s="277"/>
      <c r="AR989" t="str">
        <f t="shared" si="159"/>
        <v/>
      </c>
      <c r="AS989" t="str">
        <f t="shared" si="160"/>
        <v/>
      </c>
    </row>
    <row r="990" spans="1:45">
      <c r="A990" s="294"/>
      <c r="B990" s="295"/>
      <c r="C990" s="296"/>
      <c r="D990" s="296"/>
      <c r="E990" s="296"/>
      <c r="F990" s="296"/>
      <c r="G990" s="297"/>
      <c r="H990" s="303"/>
      <c r="I990" s="298"/>
      <c r="J990" s="298"/>
      <c r="K990" s="299"/>
      <c r="L990" s="304"/>
      <c r="M990" s="300"/>
      <c r="N990" s="301"/>
      <c r="P990" s="193" t="str">
        <f>IF(R990 = "", "", COUNT(R$4:$R990))</f>
        <v/>
      </c>
      <c r="Q990" s="193" t="str">
        <f t="shared" si="151"/>
        <v/>
      </c>
      <c r="R990" s="194" t="str">
        <f t="shared" si="152"/>
        <v/>
      </c>
      <c r="S990" s="195" t="str">
        <f t="shared" si="154"/>
        <v/>
      </c>
      <c r="T990" s="196" t="str">
        <f t="shared" si="155"/>
        <v/>
      </c>
      <c r="U990" s="197" t="str">
        <f t="shared" si="156"/>
        <v/>
      </c>
      <c r="V990" s="198" t="str">
        <f t="shared" si="153"/>
        <v/>
      </c>
      <c r="W990" s="339" t="str">
        <f t="shared" si="157"/>
        <v/>
      </c>
      <c r="X990" s="341" t="str">
        <f t="shared" si="158"/>
        <v/>
      </c>
      <c r="Y990" s="277"/>
      <c r="AR990" t="str">
        <f t="shared" si="159"/>
        <v/>
      </c>
      <c r="AS990" t="str">
        <f t="shared" si="160"/>
        <v/>
      </c>
    </row>
    <row r="991" spans="1:45">
      <c r="A991" s="294"/>
      <c r="B991" s="295"/>
      <c r="C991" s="296"/>
      <c r="D991" s="296"/>
      <c r="E991" s="296"/>
      <c r="F991" s="296"/>
      <c r="G991" s="297"/>
      <c r="H991" s="303"/>
      <c r="I991" s="298"/>
      <c r="J991" s="298"/>
      <c r="K991" s="299"/>
      <c r="L991" s="304"/>
      <c r="M991" s="300"/>
      <c r="N991" s="301"/>
      <c r="P991" s="193" t="str">
        <f>IF(R991 = "", "", COUNT(R$4:$R991))</f>
        <v/>
      </c>
      <c r="Q991" s="193" t="str">
        <f t="shared" si="151"/>
        <v/>
      </c>
      <c r="R991" s="194" t="str">
        <f t="shared" si="152"/>
        <v/>
      </c>
      <c r="S991" s="195" t="str">
        <f t="shared" si="154"/>
        <v/>
      </c>
      <c r="T991" s="196" t="str">
        <f t="shared" si="155"/>
        <v/>
      </c>
      <c r="U991" s="197" t="str">
        <f t="shared" si="156"/>
        <v/>
      </c>
      <c r="V991" s="198" t="str">
        <f t="shared" si="153"/>
        <v/>
      </c>
      <c r="W991" s="339" t="str">
        <f t="shared" si="157"/>
        <v/>
      </c>
      <c r="X991" s="341" t="str">
        <f t="shared" si="158"/>
        <v/>
      </c>
      <c r="Y991" s="277"/>
      <c r="AR991" t="str">
        <f t="shared" si="159"/>
        <v/>
      </c>
      <c r="AS991" t="str">
        <f t="shared" si="160"/>
        <v/>
      </c>
    </row>
    <row r="992" spans="1:45">
      <c r="A992" s="294"/>
      <c r="B992" s="295"/>
      <c r="C992" s="296"/>
      <c r="D992" s="296"/>
      <c r="E992" s="296"/>
      <c r="F992" s="296"/>
      <c r="G992" s="297"/>
      <c r="H992" s="303"/>
      <c r="I992" s="298"/>
      <c r="J992" s="298"/>
      <c r="K992" s="299"/>
      <c r="L992" s="304"/>
      <c r="M992" s="300"/>
      <c r="N992" s="301"/>
      <c r="P992" s="193" t="str">
        <f>IF(R992 = "", "", COUNT(R$4:$R992))</f>
        <v/>
      </c>
      <c r="Q992" s="193" t="str">
        <f t="shared" si="151"/>
        <v/>
      </c>
      <c r="R992" s="194" t="str">
        <f t="shared" si="152"/>
        <v/>
      </c>
      <c r="S992" s="195" t="str">
        <f t="shared" si="154"/>
        <v/>
      </c>
      <c r="T992" s="196" t="str">
        <f t="shared" si="155"/>
        <v/>
      </c>
      <c r="U992" s="197" t="str">
        <f t="shared" si="156"/>
        <v/>
      </c>
      <c r="V992" s="198" t="str">
        <f t="shared" si="153"/>
        <v/>
      </c>
      <c r="W992" s="339" t="str">
        <f t="shared" si="157"/>
        <v/>
      </c>
      <c r="X992" s="341" t="str">
        <f t="shared" si="158"/>
        <v/>
      </c>
      <c r="Y992" s="277"/>
      <c r="AR992" t="str">
        <f t="shared" si="159"/>
        <v/>
      </c>
      <c r="AS992" t="str">
        <f t="shared" si="160"/>
        <v/>
      </c>
    </row>
    <row r="993" spans="1:45">
      <c r="A993" s="294"/>
      <c r="B993" s="295"/>
      <c r="C993" s="296"/>
      <c r="D993" s="296"/>
      <c r="E993" s="296"/>
      <c r="F993" s="296"/>
      <c r="G993" s="297"/>
      <c r="H993" s="303"/>
      <c r="I993" s="298"/>
      <c r="J993" s="298"/>
      <c r="K993" s="299"/>
      <c r="L993" s="304"/>
      <c r="M993" s="300"/>
      <c r="N993" s="301"/>
      <c r="P993" s="193" t="str">
        <f>IF(R993 = "", "", COUNT(R$4:$R993))</f>
        <v/>
      </c>
      <c r="Q993" s="193" t="str">
        <f t="shared" si="151"/>
        <v/>
      </c>
      <c r="R993" s="194" t="str">
        <f t="shared" si="152"/>
        <v/>
      </c>
      <c r="S993" s="195" t="str">
        <f t="shared" si="154"/>
        <v/>
      </c>
      <c r="T993" s="196" t="str">
        <f t="shared" si="155"/>
        <v/>
      </c>
      <c r="U993" s="197" t="str">
        <f t="shared" si="156"/>
        <v/>
      </c>
      <c r="V993" s="198" t="str">
        <f t="shared" si="153"/>
        <v/>
      </c>
      <c r="W993" s="339" t="str">
        <f t="shared" si="157"/>
        <v/>
      </c>
      <c r="X993" s="341" t="str">
        <f t="shared" si="158"/>
        <v/>
      </c>
      <c r="Y993" s="277"/>
      <c r="AR993" t="str">
        <f t="shared" si="159"/>
        <v/>
      </c>
      <c r="AS993" t="str">
        <f t="shared" si="160"/>
        <v/>
      </c>
    </row>
    <row r="994" spans="1:45">
      <c r="A994" s="294"/>
      <c r="B994" s="295"/>
      <c r="C994" s="296"/>
      <c r="D994" s="296"/>
      <c r="E994" s="296"/>
      <c r="F994" s="296"/>
      <c r="G994" s="297"/>
      <c r="H994" s="303"/>
      <c r="I994" s="298"/>
      <c r="J994" s="298"/>
      <c r="K994" s="299"/>
      <c r="L994" s="304"/>
      <c r="M994" s="300"/>
      <c r="N994" s="301"/>
      <c r="P994" s="193" t="str">
        <f>IF(R994 = "", "", COUNT(R$4:$R994))</f>
        <v/>
      </c>
      <c r="Q994" s="193" t="str">
        <f t="shared" si="151"/>
        <v/>
      </c>
      <c r="R994" s="194" t="str">
        <f t="shared" si="152"/>
        <v/>
      </c>
      <c r="S994" s="195" t="str">
        <f t="shared" si="154"/>
        <v/>
      </c>
      <c r="T994" s="196" t="str">
        <f t="shared" si="155"/>
        <v/>
      </c>
      <c r="U994" s="197" t="str">
        <f t="shared" si="156"/>
        <v/>
      </c>
      <c r="V994" s="198" t="str">
        <f t="shared" si="153"/>
        <v/>
      </c>
      <c r="W994" s="339" t="str">
        <f t="shared" si="157"/>
        <v/>
      </c>
      <c r="X994" s="341" t="str">
        <f t="shared" si="158"/>
        <v/>
      </c>
      <c r="Y994" s="277"/>
      <c r="AR994" t="str">
        <f t="shared" si="159"/>
        <v/>
      </c>
      <c r="AS994" t="str">
        <f t="shared" si="160"/>
        <v/>
      </c>
    </row>
    <row r="995" spans="1:45">
      <c r="A995" s="294"/>
      <c r="B995" s="295"/>
      <c r="C995" s="296"/>
      <c r="D995" s="296"/>
      <c r="E995" s="296"/>
      <c r="F995" s="296"/>
      <c r="G995" s="297"/>
      <c r="H995" s="303"/>
      <c r="I995" s="298"/>
      <c r="J995" s="298"/>
      <c r="K995" s="299"/>
      <c r="L995" s="304"/>
      <c r="M995" s="300"/>
      <c r="N995" s="301"/>
      <c r="P995" s="193" t="str">
        <f>IF(R995 = "", "", COUNT(R$4:$R995))</f>
        <v/>
      </c>
      <c r="Q995" s="193" t="str">
        <f t="shared" si="151"/>
        <v/>
      </c>
      <c r="R995" s="194" t="str">
        <f t="shared" si="152"/>
        <v/>
      </c>
      <c r="S995" s="195" t="str">
        <f t="shared" si="154"/>
        <v/>
      </c>
      <c r="T995" s="196" t="str">
        <f t="shared" si="155"/>
        <v/>
      </c>
      <c r="U995" s="197" t="str">
        <f t="shared" si="156"/>
        <v/>
      </c>
      <c r="V995" s="198" t="str">
        <f t="shared" si="153"/>
        <v/>
      </c>
      <c r="W995" s="339" t="str">
        <f t="shared" si="157"/>
        <v/>
      </c>
      <c r="X995" s="341" t="str">
        <f t="shared" si="158"/>
        <v/>
      </c>
      <c r="Y995" s="277"/>
      <c r="AR995" t="str">
        <f t="shared" si="159"/>
        <v/>
      </c>
      <c r="AS995" t="str">
        <f t="shared" si="160"/>
        <v/>
      </c>
    </row>
    <row r="996" spans="1:45">
      <c r="A996" s="294"/>
      <c r="B996" s="295"/>
      <c r="C996" s="296"/>
      <c r="D996" s="296"/>
      <c r="E996" s="296"/>
      <c r="F996" s="296"/>
      <c r="G996" s="297"/>
      <c r="H996" s="303"/>
      <c r="I996" s="298"/>
      <c r="J996" s="298"/>
      <c r="K996" s="299"/>
      <c r="L996" s="304"/>
      <c r="M996" s="300"/>
      <c r="N996" s="301"/>
      <c r="P996" s="193" t="str">
        <f>IF(R996 = "", "", COUNT(R$4:$R996))</f>
        <v/>
      </c>
      <c r="Q996" s="193" t="str">
        <f t="shared" si="151"/>
        <v/>
      </c>
      <c r="R996" s="194" t="str">
        <f t="shared" si="152"/>
        <v/>
      </c>
      <c r="S996" s="195" t="str">
        <f t="shared" si="154"/>
        <v/>
      </c>
      <c r="T996" s="196" t="str">
        <f t="shared" si="155"/>
        <v/>
      </c>
      <c r="U996" s="197" t="str">
        <f t="shared" si="156"/>
        <v/>
      </c>
      <c r="V996" s="198" t="str">
        <f t="shared" si="153"/>
        <v/>
      </c>
      <c r="W996" s="339" t="str">
        <f t="shared" si="157"/>
        <v/>
      </c>
      <c r="X996" s="341" t="str">
        <f t="shared" si="158"/>
        <v/>
      </c>
      <c r="Y996" s="277"/>
      <c r="AR996" t="str">
        <f t="shared" si="159"/>
        <v/>
      </c>
      <c r="AS996" t="str">
        <f t="shared" si="160"/>
        <v/>
      </c>
    </row>
    <row r="997" spans="1:45">
      <c r="A997" s="294"/>
      <c r="B997" s="295"/>
      <c r="C997" s="296"/>
      <c r="D997" s="296"/>
      <c r="E997" s="296"/>
      <c r="F997" s="296"/>
      <c r="G997" s="297"/>
      <c r="H997" s="303"/>
      <c r="I997" s="298"/>
      <c r="J997" s="298"/>
      <c r="K997" s="299"/>
      <c r="L997" s="304"/>
      <c r="M997" s="300"/>
      <c r="N997" s="301"/>
      <c r="P997" s="193" t="str">
        <f>IF(R997 = "", "", COUNT(R$4:$R997))</f>
        <v/>
      </c>
      <c r="Q997" s="193" t="str">
        <f t="shared" si="151"/>
        <v/>
      </c>
      <c r="R997" s="194" t="str">
        <f t="shared" si="152"/>
        <v/>
      </c>
      <c r="S997" s="195" t="str">
        <f t="shared" si="154"/>
        <v/>
      </c>
      <c r="T997" s="196" t="str">
        <f t="shared" si="155"/>
        <v/>
      </c>
      <c r="U997" s="197" t="str">
        <f t="shared" si="156"/>
        <v/>
      </c>
      <c r="V997" s="198" t="str">
        <f t="shared" si="153"/>
        <v/>
      </c>
      <c r="W997" s="339" t="str">
        <f t="shared" si="157"/>
        <v/>
      </c>
      <c r="X997" s="341" t="str">
        <f t="shared" si="158"/>
        <v/>
      </c>
      <c r="Y997" s="277"/>
      <c r="AR997" t="str">
        <f t="shared" si="159"/>
        <v/>
      </c>
      <c r="AS997" t="str">
        <f t="shared" si="160"/>
        <v/>
      </c>
    </row>
    <row r="998" spans="1:45">
      <c r="A998" s="294"/>
      <c r="B998" s="295"/>
      <c r="C998" s="296"/>
      <c r="D998" s="296"/>
      <c r="E998" s="296"/>
      <c r="F998" s="296"/>
      <c r="G998" s="297"/>
      <c r="H998" s="303"/>
      <c r="I998" s="298"/>
      <c r="J998" s="298"/>
      <c r="K998" s="299"/>
      <c r="L998" s="304"/>
      <c r="M998" s="300"/>
      <c r="N998" s="301"/>
      <c r="P998" s="193" t="str">
        <f>IF(R998 = "", "", COUNT(R$4:$R998))</f>
        <v/>
      </c>
      <c r="Q998" s="193" t="str">
        <f t="shared" si="151"/>
        <v/>
      </c>
      <c r="R998" s="194" t="str">
        <f t="shared" si="152"/>
        <v/>
      </c>
      <c r="S998" s="195" t="str">
        <f t="shared" si="154"/>
        <v/>
      </c>
      <c r="T998" s="196" t="str">
        <f t="shared" si="155"/>
        <v/>
      </c>
      <c r="U998" s="197" t="str">
        <f t="shared" si="156"/>
        <v/>
      </c>
      <c r="V998" s="198" t="str">
        <f t="shared" si="153"/>
        <v/>
      </c>
      <c r="W998" s="339" t="str">
        <f t="shared" si="157"/>
        <v/>
      </c>
      <c r="X998" s="341" t="str">
        <f t="shared" si="158"/>
        <v/>
      </c>
      <c r="Y998" s="277"/>
      <c r="AR998" t="str">
        <f t="shared" si="159"/>
        <v/>
      </c>
      <c r="AS998" t="str">
        <f t="shared" si="160"/>
        <v/>
      </c>
    </row>
    <row r="999" spans="1:45">
      <c r="A999" s="294"/>
      <c r="B999" s="295"/>
      <c r="C999" s="296"/>
      <c r="D999" s="296"/>
      <c r="E999" s="296"/>
      <c r="F999" s="296"/>
      <c r="G999" s="297"/>
      <c r="H999" s="303"/>
      <c r="I999" s="298"/>
      <c r="J999" s="298"/>
      <c r="K999" s="299"/>
      <c r="L999" s="304"/>
      <c r="M999" s="300"/>
      <c r="N999" s="301"/>
      <c r="P999" s="193" t="str">
        <f>IF(R999 = "", "", COUNT(R$4:$R999))</f>
        <v/>
      </c>
      <c r="Q999" s="193" t="str">
        <f t="shared" si="151"/>
        <v/>
      </c>
      <c r="R999" s="194" t="str">
        <f t="shared" si="152"/>
        <v/>
      </c>
      <c r="S999" s="195" t="str">
        <f t="shared" si="154"/>
        <v/>
      </c>
      <c r="T999" s="196" t="str">
        <f t="shared" si="155"/>
        <v/>
      </c>
      <c r="U999" s="197" t="str">
        <f t="shared" si="156"/>
        <v/>
      </c>
      <c r="V999" s="198" t="str">
        <f t="shared" si="153"/>
        <v/>
      </c>
      <c r="W999" s="339" t="str">
        <f t="shared" si="157"/>
        <v/>
      </c>
      <c r="X999" s="341" t="str">
        <f t="shared" si="158"/>
        <v/>
      </c>
      <c r="Y999" s="277"/>
      <c r="AR999" t="str">
        <f t="shared" si="159"/>
        <v/>
      </c>
      <c r="AS999" t="str">
        <f t="shared" si="160"/>
        <v/>
      </c>
    </row>
    <row r="1000" spans="1:45">
      <c r="A1000" s="294"/>
      <c r="B1000" s="295"/>
      <c r="C1000" s="296"/>
      <c r="D1000" s="296"/>
      <c r="E1000" s="296"/>
      <c r="F1000" s="296"/>
      <c r="G1000" s="297"/>
      <c r="H1000" s="303"/>
      <c r="I1000" s="298"/>
      <c r="J1000" s="298"/>
      <c r="K1000" s="299"/>
      <c r="L1000" s="304"/>
      <c r="M1000" s="300"/>
      <c r="N1000" s="301"/>
      <c r="P1000" s="193" t="str">
        <f>IF(R1000 = "", "", COUNT(R$4:$R1000))</f>
        <v/>
      </c>
      <c r="Q1000" s="193" t="str">
        <f t="shared" si="151"/>
        <v/>
      </c>
      <c r="R1000" s="194" t="str">
        <f t="shared" si="152"/>
        <v/>
      </c>
      <c r="S1000" s="195" t="str">
        <f t="shared" si="154"/>
        <v/>
      </c>
      <c r="T1000" s="196" t="str">
        <f t="shared" si="155"/>
        <v/>
      </c>
      <c r="U1000" s="197" t="str">
        <f t="shared" si="156"/>
        <v/>
      </c>
      <c r="V1000" s="198" t="str">
        <f t="shared" si="153"/>
        <v/>
      </c>
      <c r="W1000" s="339" t="str">
        <f t="shared" si="157"/>
        <v/>
      </c>
      <c r="X1000" s="341" t="str">
        <f t="shared" si="158"/>
        <v/>
      </c>
      <c r="Y1000" s="277"/>
      <c r="AR1000" t="str">
        <f t="shared" si="159"/>
        <v/>
      </c>
      <c r="AS1000" t="str">
        <f t="shared" si="160"/>
        <v/>
      </c>
    </row>
    <row r="1001" spans="1:45">
      <c r="A1001" s="294"/>
      <c r="B1001" s="295"/>
      <c r="C1001" s="296"/>
      <c r="D1001" s="296"/>
      <c r="E1001" s="296"/>
      <c r="F1001" s="296"/>
      <c r="G1001" s="297"/>
      <c r="H1001" s="303"/>
      <c r="I1001" s="298"/>
      <c r="J1001" s="298"/>
      <c r="K1001" s="299"/>
      <c r="L1001" s="304"/>
      <c r="M1001" s="300"/>
      <c r="N1001" s="301"/>
      <c r="P1001" s="193" t="str">
        <f>IF(R1001 = "", "", COUNT(R$4:$R1001))</f>
        <v/>
      </c>
      <c r="Q1001" s="193" t="str">
        <f t="shared" si="151"/>
        <v/>
      </c>
      <c r="R1001" s="194" t="str">
        <f t="shared" si="152"/>
        <v/>
      </c>
      <c r="S1001" s="195" t="str">
        <f t="shared" si="154"/>
        <v/>
      </c>
      <c r="T1001" s="196" t="str">
        <f t="shared" si="155"/>
        <v/>
      </c>
      <c r="U1001" s="197" t="str">
        <f t="shared" si="156"/>
        <v/>
      </c>
      <c r="V1001" s="198" t="str">
        <f t="shared" si="153"/>
        <v/>
      </c>
      <c r="W1001" s="339" t="str">
        <f t="shared" si="157"/>
        <v/>
      </c>
      <c r="X1001" s="341" t="str">
        <f t="shared" si="158"/>
        <v/>
      </c>
      <c r="Y1001" s="277"/>
      <c r="AR1001" t="str">
        <f t="shared" si="159"/>
        <v/>
      </c>
      <c r="AS1001" t="str">
        <f t="shared" si="160"/>
        <v/>
      </c>
    </row>
    <row r="1002" spans="1:45">
      <c r="A1002" s="294"/>
      <c r="B1002" s="295"/>
      <c r="C1002" s="296"/>
      <c r="D1002" s="296"/>
      <c r="E1002" s="296"/>
      <c r="F1002" s="296"/>
      <c r="G1002" s="297"/>
      <c r="H1002" s="303"/>
      <c r="I1002" s="298"/>
      <c r="J1002" s="298"/>
      <c r="K1002" s="299"/>
      <c r="L1002" s="304"/>
      <c r="M1002" s="300"/>
      <c r="N1002" s="301"/>
      <c r="P1002" s="193" t="str">
        <f>IF(R1002 = "", "", COUNT(R$4:$R1002))</f>
        <v/>
      </c>
      <c r="Q1002" s="193" t="str">
        <f t="shared" si="151"/>
        <v/>
      </c>
      <c r="R1002" s="194" t="str">
        <f t="shared" si="152"/>
        <v/>
      </c>
      <c r="S1002" s="195" t="str">
        <f t="shared" si="154"/>
        <v/>
      </c>
      <c r="T1002" s="196" t="str">
        <f t="shared" si="155"/>
        <v/>
      </c>
      <c r="U1002" s="197" t="str">
        <f t="shared" si="156"/>
        <v/>
      </c>
      <c r="V1002" s="198" t="str">
        <f t="shared" si="153"/>
        <v/>
      </c>
      <c r="W1002" s="339" t="str">
        <f t="shared" si="157"/>
        <v/>
      </c>
      <c r="X1002" s="341" t="str">
        <f t="shared" si="158"/>
        <v/>
      </c>
      <c r="Y1002" s="277"/>
      <c r="AR1002" t="str">
        <f t="shared" si="159"/>
        <v/>
      </c>
      <c r="AS1002" t="str">
        <f t="shared" si="160"/>
        <v/>
      </c>
    </row>
    <row r="1003" spans="1:45" ht="14.7" thickBot="1">
      <c r="A1003" s="309"/>
      <c r="B1003" s="310"/>
      <c r="C1003" s="311"/>
      <c r="D1003" s="311"/>
      <c r="E1003" s="311"/>
      <c r="F1003" s="311"/>
      <c r="G1003" s="312"/>
      <c r="H1003" s="303"/>
      <c r="I1003" s="298"/>
      <c r="J1003" s="298"/>
      <c r="K1003" s="299"/>
      <c r="L1003" s="313"/>
      <c r="M1003" s="314"/>
      <c r="N1003" s="315"/>
      <c r="P1003" s="193" t="str">
        <f>IF(R1003 = "", "", COUNT(R$4:$R1003))</f>
        <v/>
      </c>
      <c r="Q1003" s="193" t="str">
        <f t="shared" si="151"/>
        <v/>
      </c>
      <c r="R1003" s="194" t="str">
        <f t="shared" si="152"/>
        <v/>
      </c>
      <c r="S1003" s="195" t="str">
        <f t="shared" si="154"/>
        <v/>
      </c>
      <c r="T1003" s="196" t="str">
        <f t="shared" si="155"/>
        <v/>
      </c>
      <c r="U1003" s="199" t="str">
        <f t="shared" si="156"/>
        <v/>
      </c>
      <c r="V1003" s="200" t="str">
        <f t="shared" si="153"/>
        <v/>
      </c>
      <c r="W1003" s="339" t="str">
        <f t="shared" si="157"/>
        <v/>
      </c>
      <c r="X1003" s="342" t="str">
        <f t="shared" si="158"/>
        <v/>
      </c>
      <c r="Y1003" s="277"/>
      <c r="AR1003" t="str">
        <f t="shared" si="159"/>
        <v/>
      </c>
      <c r="AS1003" t="str">
        <f t="shared" si="160"/>
        <v/>
      </c>
    </row>
    <row r="1004" spans="1:45">
      <c r="A1004" s="316"/>
      <c r="B1004" s="317"/>
      <c r="C1004" s="316"/>
      <c r="D1004" s="316"/>
      <c r="E1004" s="316"/>
      <c r="F1004" s="316"/>
      <c r="G1004" s="316"/>
      <c r="H1004" s="316"/>
      <c r="I1004" s="316"/>
      <c r="J1004" s="316"/>
      <c r="K1004" s="316"/>
      <c r="L1004" s="318"/>
      <c r="M1004" s="319"/>
      <c r="N1004" s="320"/>
      <c r="P1004" s="316"/>
      <c r="Q1004" s="316"/>
      <c r="R1004" s="316"/>
      <c r="S1004" s="316"/>
      <c r="T1004" s="316"/>
      <c r="U1004" s="316"/>
      <c r="V1004" s="316"/>
      <c r="W1004" s="316"/>
      <c r="X1004" s="316"/>
      <c r="Y1004" s="316"/>
    </row>
  </sheetData>
  <autoFilter ref="A3:M37" xr:uid="{E783CE95-186C-43BE-B639-843E26C47CE2}"/>
  <mergeCells count="24">
    <mergeCell ref="A1:N1"/>
    <mergeCell ref="A2:N2"/>
    <mergeCell ref="Z14:AG14"/>
    <mergeCell ref="S2:S3"/>
    <mergeCell ref="T2:T3"/>
    <mergeCell ref="U2:U3"/>
    <mergeCell ref="P1:AG1"/>
    <mergeCell ref="V2:V3"/>
    <mergeCell ref="W2:W3"/>
    <mergeCell ref="P2:P3"/>
    <mergeCell ref="Q2:Q3"/>
    <mergeCell ref="R2:R3"/>
    <mergeCell ref="X2:X3"/>
    <mergeCell ref="Z40:Z41"/>
    <mergeCell ref="AA40:AG41"/>
    <mergeCell ref="Z15:Z27"/>
    <mergeCell ref="Z28:Z39"/>
    <mergeCell ref="AA15:AG18"/>
    <mergeCell ref="AB19:AG23"/>
    <mergeCell ref="AB24:AG27"/>
    <mergeCell ref="AA28:AG28"/>
    <mergeCell ref="AB32:AG35"/>
    <mergeCell ref="AB36:AG37"/>
    <mergeCell ref="AB38:AG39"/>
  </mergeCells>
  <conditionalFormatting sqref="D14:D1003">
    <cfRule type="cellIs" dxfId="28" priority="5" operator="between">
      <formula>4</formula>
      <formula>6</formula>
    </cfRule>
    <cfRule type="cellIs" dxfId="27" priority="6" operator="between">
      <formula>2</formula>
      <formula>3</formula>
    </cfRule>
  </conditionalFormatting>
  <conditionalFormatting sqref="D1005:D1019">
    <cfRule type="cellIs" dxfId="26" priority="7" operator="between">
      <formula>2</formula>
      <formula>3</formula>
    </cfRule>
  </conditionalFormatting>
  <conditionalFormatting sqref="F14:F1003">
    <cfRule type="cellIs" dxfId="25" priority="4" operator="between">
      <formula>4</formula>
      <formula>6</formula>
    </cfRule>
  </conditionalFormatting>
  <conditionalFormatting sqref="D4:D13">
    <cfRule type="cellIs" dxfId="24" priority="2" operator="between">
      <formula>4</formula>
      <formula>6</formula>
    </cfRule>
    <cfRule type="cellIs" dxfId="23" priority="3" operator="between">
      <formula>2</formula>
      <formula>3</formula>
    </cfRule>
  </conditionalFormatting>
  <conditionalFormatting sqref="F4:F13">
    <cfRule type="cellIs" dxfId="22" priority="1" operator="between">
      <formula>4</formula>
      <formula>6</formula>
    </cfRule>
  </conditionalFormatting>
  <dataValidations count="4">
    <dataValidation type="list" allowBlank="1" showInputMessage="1" showErrorMessage="1" errorTitle="Target flag" error="Type Y for a target crash, otherwise leave the cell blank (anything else counts as a target)." promptTitle="Target" prompt="Y if this crash is in the target group, otherwise blank." sqref="L4:M1003" xr:uid="{DC0A4B10-599F-40D5-8DAD-C0E4607CC94C}">
      <formula1>YList</formula1>
    </dataValidation>
    <dataValidation type="list" allowBlank="1" showInputMessage="1" showErrorMessage="1" errorTitle="At fault" error="V1, V2 or Unclear." promptTitle="At Fault" prompt="Blank = V1. V2 if the other vehicle was at fault (e.g. thru vehicle ran the light, or ghost vehicle in an avoidance crash). Unclear if fault is unclear." sqref="K4:K1003" xr:uid="{A78A7F4E-66D0-42BB-B5E3-7A312032F997}">
      <formula1>AtFaultList</formula1>
    </dataValidation>
    <dataValidation type="list" allowBlank="1" showInputMessage="1" showErrorMessage="1" errorTitle="Vehicle code" error="Use direction + movement: NBT, NBL, NBR, NBU, SBT ... WBU, or Unk." promptTitle="Vehicle" prompt="Direction + movement, e.g. WBL. Vehicle 1 = turning vehicle (LT/RT/U), run-off vehicle (ROR), rear vehicle (RE), at-fault vehicle (Angle/Head on). Vehicle 2 = the other vehicle (ghost vehicle for avoidance crashes)." sqref="I4:J1003" xr:uid="{FE5AAAC5-CE74-46A5-869A-C30623D9E0EA}">
      <formula1>VehicleCodeList</formula1>
    </dataValidation>
    <dataValidation type="list" allowBlank="1" showInputMessage="1" showErrorMessage="1" errorTitle="Crash type" error="Pick a type from the list (see the Lists sheet), or leave blank to use the type implied by the T code." promptTitle="Crash Type" prompt="Blank = type implied by the T code in column C. Fixed-object crashes (T=19) must be typed by hand (RORR/RORL/RORS)." sqref="H4:H1003" xr:uid="{D7ACFA64-E540-4CB7-808F-2DE51BD2235B}">
      <formula1>CrashTypeList</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A9BF-77B1-4A87-8CFB-D403E954FCEF}">
  <sheetPr codeName="Sheet13"/>
  <dimension ref="B1:AE50"/>
  <sheetViews>
    <sheetView zoomScale="90" zoomScaleNormal="90" workbookViewId="0">
      <selection activeCell="I12" sqref="I12"/>
    </sheetView>
  </sheetViews>
  <sheetFormatPr defaultRowHeight="14.4"/>
  <cols>
    <col min="3" max="4" width="6.26171875" customWidth="1"/>
    <col min="5" max="5" width="10.5234375" bestFit="1" customWidth="1"/>
    <col min="7" max="7" width="8.83984375" style="5"/>
    <col min="8" max="9" width="6.26171875" customWidth="1"/>
    <col min="12" max="12" width="10.5234375" bestFit="1" customWidth="1"/>
    <col min="13" max="14" width="6.26171875" customWidth="1"/>
    <col min="18" max="18" width="13.26171875" bestFit="1" customWidth="1"/>
    <col min="19" max="20" width="6.26171875" customWidth="1"/>
    <col min="22" max="22" width="3.734375" customWidth="1"/>
    <col min="23" max="23" width="29.5234375" bestFit="1" customWidth="1"/>
    <col min="24" max="25" width="6.26171875" customWidth="1"/>
    <col min="26" max="26" width="9.15625" bestFit="1" customWidth="1"/>
    <col min="27" max="27" width="3.734375" customWidth="1"/>
    <col min="29" max="30" width="6.26171875" customWidth="1"/>
    <col min="33" max="33" width="52.7890625" bestFit="1" customWidth="1"/>
  </cols>
  <sheetData>
    <row r="1" spans="2:31" ht="18.600000000000001" thickBot="1">
      <c r="B1" s="104" t="s">
        <v>67</v>
      </c>
      <c r="G1" s="104" t="s">
        <v>787</v>
      </c>
      <c r="R1" s="104" t="s">
        <v>788</v>
      </c>
      <c r="AB1" s="104" t="s">
        <v>789</v>
      </c>
    </row>
    <row r="2" spans="2:31" ht="14.7" thickBot="1">
      <c r="B2" s="5" t="s">
        <v>715</v>
      </c>
      <c r="C2" s="5" t="s">
        <v>716</v>
      </c>
      <c r="G2" s="5" t="s">
        <v>312</v>
      </c>
      <c r="H2" s="5" t="s">
        <v>790</v>
      </c>
      <c r="L2" s="5" t="s">
        <v>311</v>
      </c>
      <c r="R2" s="5" t="s">
        <v>791</v>
      </c>
      <c r="W2" s="5" t="s">
        <v>792</v>
      </c>
      <c r="AB2" s="628" t="s">
        <v>793</v>
      </c>
      <c r="AC2" t="s">
        <v>794</v>
      </c>
    </row>
    <row r="3" spans="2:31">
      <c r="B3" s="629" t="s">
        <v>721</v>
      </c>
      <c r="C3" s="109">
        <f>COUNTIF(Before!$H$4:$H$1003, $B$2&amp; " " &amp;$B3&amp;"*")</f>
        <v>0</v>
      </c>
      <c r="D3" s="109">
        <f>COUNTIF(After!$H$4:$H$1003, $B$2&amp; " " &amp;$B3&amp;"*")</f>
        <v>0</v>
      </c>
      <c r="E3" s="110" t="str">
        <f t="shared" ref="E3:E8" si="0">IFERROR((D3-C3)/C3, "n/a")</f>
        <v>n/a</v>
      </c>
      <c r="F3" s="100"/>
      <c r="G3" s="629" t="s">
        <v>721</v>
      </c>
      <c r="H3" s="109">
        <f>COUNTIF(Before!$H$4:$H$1003, "*"&amp;$G$2&amp; " " &amp;$G3&amp;"*")</f>
        <v>0</v>
      </c>
      <c r="I3" s="109">
        <f>COUNTIF(After!$H$4:$H$1003, $G$2&amp; " " &amp;$G3&amp;"*")</f>
        <v>0</v>
      </c>
      <c r="J3" s="110" t="str">
        <f>IFERROR((I3-H3)/H3, "n/a")</f>
        <v>n/a</v>
      </c>
      <c r="K3" s="100"/>
      <c r="L3" s="629" t="s">
        <v>721</v>
      </c>
      <c r="M3" s="109">
        <f>COUNTIF(Before!$H$4:$H$1003, "*"&amp;$L$2&amp; " " &amp;$L3&amp;"*")</f>
        <v>0</v>
      </c>
      <c r="N3" s="109">
        <f>COUNTIF(After!$H$4:$H$1003, $L$2&amp; " " &amp;$L3&amp;"*")</f>
        <v>0</v>
      </c>
      <c r="O3" s="110" t="str">
        <f>IFERROR((N3-M3)/M3, "n/a")</f>
        <v>n/a</v>
      </c>
      <c r="R3" s="629" t="s">
        <v>721</v>
      </c>
      <c r="S3" s="109">
        <f>COUNTIF(Before!$H$4:$H$1003, $B$2&amp; " " &amp;$AB3&amp;"*")+COUNTIF(Before!$H$4:$H$1003,$B$10&amp;" "&amp;$AB3&amp;"*")+COUNTIF(Before!$H$4:$H$1003,$B$17&amp;" "&amp;$AB3&amp;"*")+COUNTIF(Before!$H$4:$H$1003,$B$24&amp;" "&amp;$AB3&amp;"*")+COUNTIF(Before!$H$4:$H$1003,$B$31&amp;" "&amp;$AB3&amp;"*")+COUNTIF(Before!$H$4:$H$1003,$B$38&amp;" "&amp;$AB3&amp;"*")+COUNTIF(Before!$H$4:$H$1003,"U*turn "&amp;$AB3&amp;"*")</f>
        <v>2</v>
      </c>
      <c r="T3" s="109">
        <f>COUNTIF(After!$H$4:$H$1003, $B$2&amp; " " &amp;$AB3&amp;"*")+COUNTIF(After!$H$4:$H$1003,$B$10&amp;" "&amp;$AB3&amp;"*")+COUNTIF(After!$H$4:$H$1003,$B$17&amp;" "&amp;$AB3&amp;"*")+COUNTIF(After!$H$4:$H$1003,$B$24&amp;" "&amp;$AB3&amp;"*")+COUNTIF(After!$H$4:$H$1003,$B$31&amp;" "&amp;$AB3&amp;"*")+COUNTIF(After!$H$4:$H$1003,$B$38&amp;" "&amp;$AB3&amp;"*")+COUNTIF(After!$H$4:$H$1003,"U*turn "&amp;$AB3&amp;"*")</f>
        <v>4</v>
      </c>
      <c r="U3" s="110">
        <f t="shared" ref="U3:U8" si="1">IFERROR((T3-S3)/S3, "n/a")</f>
        <v>1</v>
      </c>
      <c r="V3" s="100"/>
      <c r="W3" s="630" t="s">
        <v>795</v>
      </c>
      <c r="X3" s="109" cm="1">
        <f t="array" ref="X3">SUMPRODUCT((MID(Before!$H$4:$H$1003, FIND(" ", Before!$H$4:$H$1003 &amp; " ") + 1, 2) = "NB") * (Before!$L$4:$L$1003 &lt;&gt; ""))</f>
        <v>1</v>
      </c>
      <c r="Y3" s="109" cm="1">
        <f t="array" ref="Y3">SUMPRODUCT((MID(After!$H$4:$H$1003, FIND(" ", After!$H$4:$H$1003 &amp; " ") + 1, 2) = "NB") * (After!$L$4:$L$1003 &lt;&gt; ""))</f>
        <v>2</v>
      </c>
      <c r="Z3" s="110">
        <f t="shared" ref="Z3:Z8" si="2">IFERROR((Y3-X3)/X3, "n/a")</f>
        <v>1</v>
      </c>
      <c r="AA3" s="100"/>
      <c r="AB3" s="630" t="s">
        <v>721</v>
      </c>
      <c r="AC3" s="109" cm="1">
        <f t="array" ref="AC3">SUMPRODUCT((MID(Before!$H$4:$H$1003, FIND(" ", Before!$H$4:$H$1003 &amp; " ") + 1, 2) = $AB3) * (Before!$I$4:$I$1003 = $AB$2))</f>
        <v>0</v>
      </c>
      <c r="AD3" s="109" cm="1">
        <f t="array" ref="AD3">SUMPRODUCT((MID(After!$H$4:$H$1003, FIND(" ", After!$H$4:$H$1003 &amp; " ") + 1, 2) = $AB3) * (After!$I$4:$I$1003 = $AB$2))</f>
        <v>0</v>
      </c>
      <c r="AE3" s="110" t="str">
        <f t="shared" ref="AE3:AE8" si="3">IFERROR((AD3-AC3)/AC3, "n/a")</f>
        <v>n/a</v>
      </c>
    </row>
    <row r="4" spans="2:31">
      <c r="B4" s="631" t="s">
        <v>722</v>
      </c>
      <c r="C4" s="632">
        <f>COUNTIF(Before!$H$4:$H$1003, $B$2&amp; " " &amp;$B4&amp;"*")</f>
        <v>2</v>
      </c>
      <c r="D4" s="632">
        <f>COUNTIF(After!$H$4:$H$1003, $B$2&amp; " " &amp;$B4&amp;"*")</f>
        <v>4</v>
      </c>
      <c r="E4" s="101">
        <f t="shared" si="0"/>
        <v>1</v>
      </c>
      <c r="F4" s="100"/>
      <c r="G4" s="631" t="s">
        <v>722</v>
      </c>
      <c r="H4" s="632">
        <f>COUNTIF(Before!$H$4:$H$1003, "*"&amp;$G$2&amp; " " &amp;$G4&amp;"*")</f>
        <v>0</v>
      </c>
      <c r="I4" s="632">
        <f>COUNTIF(After!$H$4:$H$1003, $G$2&amp; " " &amp;$G4&amp;"*")</f>
        <v>0</v>
      </c>
      <c r="J4" s="101" t="str">
        <f>IFERROR((I4-H4)/H4, "n/a")</f>
        <v>n/a</v>
      </c>
      <c r="K4" s="100"/>
      <c r="L4" s="631" t="s">
        <v>722</v>
      </c>
      <c r="M4" s="632">
        <f>COUNTIF(Before!$H$4:$H$1003, $L$2&amp; " " &amp;$L4&amp;"*")</f>
        <v>1</v>
      </c>
      <c r="N4" s="632">
        <f>COUNTIF(After!$H$4:$H$1003, $L$2&amp; " " &amp;$L4&amp;"*")</f>
        <v>4</v>
      </c>
      <c r="O4" s="101">
        <f>IFERROR((N4-M4)/M4, "n/a")</f>
        <v>3</v>
      </c>
      <c r="R4" s="631" t="s">
        <v>722</v>
      </c>
      <c r="S4" s="632">
        <f>COUNTIF(Before!$H$4:$H$1003, $B$2&amp; " " &amp;$R4&amp;"*")+COUNTIF(Before!$H$4:$H$1003,$B$10&amp;" "&amp;$R4&amp;"*")+COUNTIF(Before!$H$4:$H$1003,$B$17&amp;" "&amp;$R4&amp;"*")+COUNTIF(Before!$H$4:$H$1003,$B$24&amp;" "&amp;$R4&amp;"*")+COUNTIF(Before!$H$4:$H$1003,$B$31&amp;" "&amp;$R4&amp;"*")+COUNTIF(Before!$H$4:$H$1003,$B$38&amp;" "&amp;$R4&amp;"*")+COUNTIF(Before!$H$4:$H$1003,"U*turn "&amp;$R4&amp;"*")</f>
        <v>5</v>
      </c>
      <c r="T4" s="632">
        <f>COUNTIF(After!$H$4:$H$1003, $B$2&amp; " " &amp;$R4&amp;"*")+COUNTIF(After!$H$4:$H$1003,$B$10&amp;" "&amp;$R4&amp;"*")+COUNTIF(After!$H$4:$H$1003,$B$17&amp;" "&amp;$R4&amp;"*")+COUNTIF(After!$H$4:$H$1003,$B$24&amp;" "&amp;$R4&amp;"*")+COUNTIF(After!$H$4:$H$1003,$B$31&amp;" "&amp;$R4&amp;"*")+COUNTIF(After!$H$4:$H$1003,$B$38&amp;" "&amp;$R4&amp;"*")+COUNTIF(After!$H$4:$H$1003,"U*turn "&amp;$R4&amp;"*")</f>
        <v>7</v>
      </c>
      <c r="U4" s="101">
        <f t="shared" si="1"/>
        <v>0.4</v>
      </c>
      <c r="V4" s="100"/>
      <c r="W4" s="633" t="s">
        <v>796</v>
      </c>
      <c r="X4" s="632" cm="1">
        <f t="array" ref="X4">SUMPRODUCT((MID(Before!$H$4:$H$1003, FIND(" ", Before!$H$4:$H$1003 &amp; " ") + 1, 2) = "SB") * (Before!$L$4:$L$1003 &lt;&gt; ""))</f>
        <v>3</v>
      </c>
      <c r="Y4" s="632" cm="1">
        <f t="array" ref="Y4">SUMPRODUCT((MID(After!$H$4:$H$1003, FIND(" ", After!$H$4:$H$1003 &amp; " ") + 1, 2) = "SB") * (After!$L$4:$L$1003 &lt;&gt; ""))</f>
        <v>1</v>
      </c>
      <c r="Z4" s="101">
        <f t="shared" si="2"/>
        <v>-0.66666666666666663</v>
      </c>
      <c r="AA4" s="100"/>
      <c r="AB4" s="633" t="s">
        <v>722</v>
      </c>
      <c r="AC4" s="632" cm="1">
        <f t="array" ref="AC4">SUMPRODUCT((MID(Before!$H$4:$H$1003, FIND(" ", Before!$H$4:$H$1003 &amp; " ") + 1, 2) = $AB4) * (Before!$I$4:$I$1003 = $AB$2))</f>
        <v>0</v>
      </c>
      <c r="AD4" s="632" cm="1">
        <f t="array" ref="AD4">SUMPRODUCT((MID(After!$H$4:$H$1003, FIND(" ", After!$H$4:$H$1003 &amp; " ") + 1, 2) = $AB4) * (After!$I$4:$I$1003 = $AB$2))</f>
        <v>0</v>
      </c>
      <c r="AE4" s="101" t="str">
        <f t="shared" si="3"/>
        <v>n/a</v>
      </c>
    </row>
    <row r="5" spans="2:31">
      <c r="B5" s="631" t="s">
        <v>723</v>
      </c>
      <c r="C5" s="632">
        <f>COUNTIF(Before!$H$4:$H$1003, $B$2&amp; " " &amp;$B5&amp;"*")</f>
        <v>3</v>
      </c>
      <c r="D5" s="632">
        <f>COUNTIF(After!$H$4:$H$1003, $B$2&amp; " " &amp;$B5&amp;"*")</f>
        <v>2</v>
      </c>
      <c r="E5" s="101">
        <f t="shared" si="0"/>
        <v>-0.33333333333333331</v>
      </c>
      <c r="F5" s="100"/>
      <c r="G5" s="631" t="s">
        <v>723</v>
      </c>
      <c r="H5" s="632">
        <f>COUNTIF(Before!$H$4:$H$1003, $G$2&amp; " " &amp;$G5&amp;"*")</f>
        <v>1</v>
      </c>
      <c r="I5" s="632">
        <f>COUNTIF(After!$H$4:$H$1003, $G$2&amp; " " &amp;$G5&amp;"*")</f>
        <v>0</v>
      </c>
      <c r="J5" s="101">
        <f>IFERROR((I5-H5)/H5, "n/a")</f>
        <v>-1</v>
      </c>
      <c r="K5" s="100"/>
      <c r="L5" s="631" t="s">
        <v>723</v>
      </c>
      <c r="M5" s="632">
        <f>COUNTIF(Before!$H$4:$H$1003, $L$2&amp; " " &amp;$L5&amp;"*")</f>
        <v>0</v>
      </c>
      <c r="N5" s="632">
        <f>COUNTIF(After!$H$4:$H$1003, $L$2&amp; " " &amp;$L5&amp;"*")</f>
        <v>2</v>
      </c>
      <c r="O5" s="101" t="str">
        <f>IFERROR((N5-M5)/M5, "n/a")</f>
        <v>n/a</v>
      </c>
      <c r="R5" s="631" t="s">
        <v>723</v>
      </c>
      <c r="S5" s="632">
        <f>COUNTIF(Before!$H$4:$H$1003, $B$2&amp; " " &amp;$R5&amp;"*")+COUNTIF(Before!$H$4:$H$1003,$B$10&amp;" "&amp;$R5&amp;"*")+COUNTIF(Before!$H$4:$H$1003,$B$17&amp;" "&amp;$R5&amp;"*")+COUNTIF(Before!$H$4:$H$1003,$B$24&amp;" "&amp;$R5&amp;"*")+COUNTIF(Before!$H$4:$H$1003,$B$31&amp;" "&amp;$R5&amp;"*")+COUNTIF(Before!$H$4:$H$1003,$B$38&amp;" "&amp;$R5&amp;"*")+COUNTIF(Before!$H$4:$H$1003,"U*turn "&amp;$R5&amp;"*")</f>
        <v>3</v>
      </c>
      <c r="T5" s="632">
        <f>COUNTIF(After!$H$4:$H$1003, $B$2&amp; " " &amp;$R5&amp;"*")+COUNTIF(After!$H$4:$H$1003,$B$10&amp;" "&amp;$R5&amp;"*")+COUNTIF(After!$H$4:$H$1003,$B$17&amp;" "&amp;$R5&amp;"*")+COUNTIF(After!$H$4:$H$1003,$B$24&amp;" "&amp;$R5&amp;"*")+COUNTIF(After!$H$4:$H$1003,$B$31&amp;" "&amp;$R5&amp;"*")+COUNTIF(After!$H$4:$H$1003,$B$38&amp;" "&amp;$R5&amp;"*")+COUNTIF(After!$H$4:$H$1003,"U*turn "&amp;$R5&amp;"*")</f>
        <v>5</v>
      </c>
      <c r="U5" s="101">
        <f t="shared" si="1"/>
        <v>0.66666666666666663</v>
      </c>
      <c r="V5" s="100"/>
      <c r="W5" s="633" t="s">
        <v>797</v>
      </c>
      <c r="X5" s="632" cm="1">
        <f t="array" ref="X5">SUMPRODUCT((MID(Before!$H$4:$H$1003, FIND(" ", Before!$H$4:$H$1003 &amp; " ") + 1, 2) = "EB") * (Before!$L$4:$L$1003 &lt;&gt; ""))</f>
        <v>0</v>
      </c>
      <c r="Y5" s="632" cm="1">
        <f t="array" ref="Y5">SUMPRODUCT((MID(After!$H$4:$H$1003, FIND(" ", After!$H$4:$H$1003 &amp; " ") + 1, 2) = "EB") * (After!$L$4:$L$1003 &lt;&gt; ""))</f>
        <v>1</v>
      </c>
      <c r="Z5" s="101" t="str">
        <f t="shared" si="2"/>
        <v>n/a</v>
      </c>
      <c r="AA5" s="100"/>
      <c r="AB5" s="633" t="s">
        <v>723</v>
      </c>
      <c r="AC5" s="632" cm="1">
        <f t="array" ref="AC5">SUMPRODUCT((MID(Before!$H$4:$H$1003, FIND(" ", Before!$H$4:$H$1003 &amp; " ") + 1, 2) = $AB5) * (Before!$I$4:$I$1003 = $AB$2))</f>
        <v>0</v>
      </c>
      <c r="AD5" s="632" cm="1">
        <f t="array" ref="AD5">SUMPRODUCT((MID(After!$H$4:$H$1003, FIND(" ", After!$H$4:$H$1003 &amp; " ") + 1, 2) = $AB5) * (After!$I$4:$I$1003 = $AB$2))</f>
        <v>0</v>
      </c>
      <c r="AE5" s="101" t="str">
        <f t="shared" si="3"/>
        <v>n/a</v>
      </c>
    </row>
    <row r="6" spans="2:31" ht="14.7" thickBot="1">
      <c r="B6" s="631" t="s">
        <v>724</v>
      </c>
      <c r="C6" s="632">
        <f>COUNTIF(Before!$H$4:$H$1003, $B$2&amp; " " &amp;$B6&amp;"*")</f>
        <v>0</v>
      </c>
      <c r="D6" s="632">
        <f>COUNTIF(After!$H$4:$H$1003, $B$2&amp; " " &amp;$B6&amp;"*")</f>
        <v>5</v>
      </c>
      <c r="E6" s="101" t="str">
        <f t="shared" si="0"/>
        <v>n/a</v>
      </c>
      <c r="F6" s="100"/>
      <c r="G6" s="634" t="s">
        <v>724</v>
      </c>
      <c r="H6" s="635">
        <f>COUNTIF(Before!$H$4:$H$1003, $G$2&amp; " " &amp;$G6&amp;"*")</f>
        <v>0</v>
      </c>
      <c r="I6" s="635">
        <f>COUNTIF(After!$H$4:$H$1003, $G$2&amp; " " &amp;$G6&amp;"*")</f>
        <v>0</v>
      </c>
      <c r="J6" s="102" t="str">
        <f>IFERROR((I6-H6)/H6, "n/a")</f>
        <v>n/a</v>
      </c>
      <c r="K6" s="100"/>
      <c r="L6" s="634" t="s">
        <v>724</v>
      </c>
      <c r="M6" s="635">
        <f>COUNTIF(Before!$H$4:$H$1003, $L$2&amp; " " &amp;$L6&amp;"*")</f>
        <v>3</v>
      </c>
      <c r="N6" s="635">
        <f>COUNTIF(After!$H$4:$H$1003, $L$2&amp; " " &amp;$L6&amp;"*")</f>
        <v>4</v>
      </c>
      <c r="O6" s="102">
        <f>IFERROR((N6-M6)/M6, "n/a")</f>
        <v>0.33333333333333331</v>
      </c>
      <c r="R6" s="631" t="s">
        <v>724</v>
      </c>
      <c r="S6" s="632">
        <f>COUNTIF(Before!$H$4:$H$1003, $B$2&amp; " " &amp;$R6&amp;"*")+COUNTIF(Before!$H$4:$H$1003,$B$10&amp;" "&amp;$R6&amp;"*")+COUNTIF(Before!$H$4:$H$1003,$B$17&amp;" "&amp;$R6&amp;"*")+COUNTIF(Before!$H$4:$H$1003,$B$24&amp;" "&amp;$R6&amp;"*")+COUNTIF(Before!$H$4:$H$1003,$B$31&amp;" "&amp;$R6&amp;"*")+COUNTIF(Before!$H$4:$H$1003,$B$38&amp;" "&amp;$R6&amp;"*")+COUNTIF(Before!$H$4:$H$1003,"U*turn "&amp;$R6&amp;"*")</f>
        <v>0</v>
      </c>
      <c r="T6" s="632">
        <f>COUNTIF(After!$H$4:$H$1003, $B$2&amp; " " &amp;$R6&amp;"*")+COUNTIF(After!$H$4:$H$1003,$B$10&amp;" "&amp;$R6&amp;"*")+COUNTIF(After!$H$4:$H$1003,$B$17&amp;" "&amp;$R6&amp;"*")+COUNTIF(After!$H$4:$H$1003,$B$24&amp;" "&amp;$R6&amp;"*")+COUNTIF(After!$H$4:$H$1003,$B$31&amp;" "&amp;$R6&amp;"*")+COUNTIF(After!$H$4:$H$1003,$B$38&amp;" "&amp;$R6&amp;"*")+COUNTIF(After!$H$4:$H$1003,"U*turn "&amp;$R6&amp;"*")</f>
        <v>6</v>
      </c>
      <c r="U6" s="101" t="str">
        <f t="shared" si="1"/>
        <v>n/a</v>
      </c>
      <c r="V6" s="100"/>
      <c r="W6" s="633" t="s">
        <v>798</v>
      </c>
      <c r="X6" s="632" cm="1">
        <f t="array" ref="X6">SUMPRODUCT((MID(Before!$H$4:$H$1003, FIND(" ", Before!$H$4:$H$1003 &amp; " ") + 1, 2) = "WB") * (Before!$L$4:$L$1003 &lt;&gt; ""))</f>
        <v>0</v>
      </c>
      <c r="Y6" s="632" cm="1">
        <f t="array" ref="Y6">SUMPRODUCT((MID(After!$H$4:$H$1003, FIND(" ", After!$H$4:$H$1003 &amp; " ") + 1, 2) = "WB") * (After!$L$4:$L$1003 &lt;&gt; ""))</f>
        <v>1</v>
      </c>
      <c r="Z6" s="101" t="str">
        <f t="shared" si="2"/>
        <v>n/a</v>
      </c>
      <c r="AA6" s="100"/>
      <c r="AB6" s="633" t="s">
        <v>724</v>
      </c>
      <c r="AC6" s="632" cm="1">
        <f t="array" ref="AC6">SUMPRODUCT((MID(Before!$H$4:$H$1003, FIND(" ", Before!$H$4:$H$1003 &amp; " ") + 1, 2) = $AB6) * (Before!$I$4:$I$1003 = $AB$2))</f>
        <v>0</v>
      </c>
      <c r="AD6" s="632" cm="1">
        <f t="array" ref="AD6">SUMPRODUCT((MID(After!$H$4:$H$1003, FIND(" ", After!$H$4:$H$1003 &amp; " ") + 1, 2) = $AB6) * (After!$I$4:$I$1003 = $AB$2))</f>
        <v>0</v>
      </c>
      <c r="AE6" s="101" t="str">
        <f t="shared" si="3"/>
        <v>n/a</v>
      </c>
    </row>
    <row r="7" spans="2:31" ht="14.7" thickBot="1">
      <c r="B7" s="634" t="s">
        <v>310</v>
      </c>
      <c r="C7" s="635">
        <f>COUNTIF(Before!$H$4:$H$1003, $B$2&amp; " " &amp;$B7&amp;"*")</f>
        <v>0</v>
      </c>
      <c r="D7" s="635">
        <f>COUNTIF(After!$H$4:$H$1003, $B$2&amp; " " &amp;$B7&amp;"*")</f>
        <v>0</v>
      </c>
      <c r="E7" s="102" t="str">
        <f t="shared" si="0"/>
        <v>n/a</v>
      </c>
      <c r="F7" s="100"/>
      <c r="G7" s="106" t="s">
        <v>799</v>
      </c>
      <c r="H7" s="107">
        <f>SUM(H3:H6)</f>
        <v>1</v>
      </c>
      <c r="I7" s="107">
        <f>SUM(I3:I6)</f>
        <v>0</v>
      </c>
      <c r="J7" s="108">
        <f>IFERROR((I7-H7)/H7, "n/a")</f>
        <v>-1</v>
      </c>
      <c r="L7" s="106" t="s">
        <v>799</v>
      </c>
      <c r="M7" s="107">
        <f>SUM(M2:M6)</f>
        <v>4</v>
      </c>
      <c r="N7" s="107">
        <f>SUM(N2:N6)</f>
        <v>10</v>
      </c>
      <c r="O7" s="108">
        <f>IFERROR((N7-M7)/M7, "n/a")</f>
        <v>1.5</v>
      </c>
      <c r="R7" s="634" t="s">
        <v>310</v>
      </c>
      <c r="S7" s="635">
        <f>COUNTIF(Before!$H$4:$H$1003, $B$2&amp; " " &amp;$R7&amp;"*")+COUNTIF(Before!$H$4:$H$1003,$B$10&amp;" "&amp;$R7&amp;"*")+COUNTIF(Before!$H$4:$H$1003,$B$17&amp;" "&amp;$R7&amp;"*")+COUNTIF(Before!$H$4:$H$1003,$B$24&amp;" "&amp;$R7&amp;"*")+COUNTIF(Before!$H$4:$H$1003,$B$31&amp;" "&amp;$R7&amp;"*")+COUNTIF(Before!$H$4:$H$1003,$B$38&amp;" "&amp;$R7&amp;"*")+COUNTIF(Before!$H$4:$H$1003,"U*turn "&amp;$R7&amp;"*")</f>
        <v>0</v>
      </c>
      <c r="T7" s="635">
        <f>COUNTIF(After!$H$4:$H$1003, $B$2&amp; " " &amp;$R7&amp;"*")+COUNTIF(After!$H$4:$H$1003,$B$10&amp;" "&amp;$R7&amp;"*")+COUNTIF(After!$H$4:$H$1003,$B$17&amp;" "&amp;$R7&amp;"*")+COUNTIF(After!$H$4:$H$1003,$B$24&amp;" "&amp;$R7&amp;"*")+COUNTIF(After!$H$4:$H$1003,$B$31&amp;" "&amp;$R7&amp;"*")+COUNTIF(After!$H$4:$H$1003,$B$38&amp;" "&amp;$R7&amp;"*")+COUNTIF(After!$H$4:$H$1003,"U*turn "&amp;$R7&amp;"*")</f>
        <v>0</v>
      </c>
      <c r="U7" s="102" t="str">
        <f t="shared" si="1"/>
        <v>n/a</v>
      </c>
      <c r="V7" s="100"/>
      <c r="W7" s="636" t="s">
        <v>800</v>
      </c>
      <c r="X7" s="635" cm="1">
        <f t="array" ref="X7">SUMPRODUCT((MID(Before!$H$4:$H$1003, FIND(" ", Before!$H$4:$H$1003 &amp; " ")+1, 7) = "Unclear") * (Before!$L$4:$L$1003 &lt;&gt; ""))</f>
        <v>0</v>
      </c>
      <c r="Y7" s="635" cm="1">
        <f t="array" ref="Y7">SUMPRODUCT((MID(After!$H$4:$H$1003, FIND(" ", After!$H$4:$H$1003 &amp; " ")+1, 7) = "Unclear") * (After!$L$4:$L$1003 &lt;&gt; ""))</f>
        <v>0</v>
      </c>
      <c r="Z7" s="102" t="str">
        <f t="shared" si="2"/>
        <v>n/a</v>
      </c>
      <c r="AA7" s="100"/>
      <c r="AB7" s="636" t="s">
        <v>310</v>
      </c>
      <c r="AC7" s="635" cm="1">
        <f t="array" ref="AC7">SUMPRODUCT((MID(Before!$H$4:$H$1003, FIND(" ", Before!$H$4:$H$1003 &amp; " ")+1, 7) = $AB7) * (Before!$I$4:$I$1003 = $AB$2))</f>
        <v>0</v>
      </c>
      <c r="AD7" s="635" cm="1">
        <f t="array" ref="AD7">SUMPRODUCT((MID(After!$H$4:$H$1003, FIND(" ", After!$H$4:$H$1003 &amp; " ")+1, 7) = $AB7) * (After!$I$4:$I$1003 = $AB$2))</f>
        <v>0</v>
      </c>
      <c r="AE7" s="102" t="str">
        <f t="shared" si="3"/>
        <v>n/a</v>
      </c>
    </row>
    <row r="8" spans="2:31" ht="14.7" thickBot="1">
      <c r="B8" s="106" t="s">
        <v>799</v>
      </c>
      <c r="C8" s="107">
        <f>SUM(C3:C7)</f>
        <v>5</v>
      </c>
      <c r="D8" s="107">
        <f>SUM(D3:D7)</f>
        <v>11</v>
      </c>
      <c r="E8" s="108">
        <f t="shared" si="0"/>
        <v>1.2</v>
      </c>
      <c r="R8" s="106" t="s">
        <v>799</v>
      </c>
      <c r="S8" s="107">
        <f>SUM(S3:S7)</f>
        <v>10</v>
      </c>
      <c r="T8" s="107">
        <f>SUM(T3:T7)</f>
        <v>22</v>
      </c>
      <c r="U8" s="108">
        <f t="shared" si="1"/>
        <v>1.2</v>
      </c>
      <c r="W8" s="106" t="s">
        <v>799</v>
      </c>
      <c r="X8" s="107">
        <f>SUM(X3:X7)</f>
        <v>4</v>
      </c>
      <c r="Y8" s="107">
        <f>SUM(Y3:Y7)</f>
        <v>5</v>
      </c>
      <c r="Z8" s="108">
        <f t="shared" si="2"/>
        <v>0.25</v>
      </c>
      <c r="AB8" s="106" t="s">
        <v>799</v>
      </c>
      <c r="AC8" s="107">
        <f>SUM(AC3:AC7)</f>
        <v>0</v>
      </c>
      <c r="AD8" s="107">
        <f>SUM(AD3:AD7)</f>
        <v>0</v>
      </c>
      <c r="AE8" s="108" t="str">
        <f t="shared" si="3"/>
        <v>n/a</v>
      </c>
    </row>
    <row r="9" spans="2:31" ht="14.7" thickBot="1">
      <c r="G9" s="5" t="s">
        <v>313</v>
      </c>
      <c r="H9" s="5" t="s">
        <v>790</v>
      </c>
      <c r="L9" s="111" t="s">
        <v>801</v>
      </c>
      <c r="M9" s="637">
        <f>COUNTIF(Before!$H$4:$H$1003,"Ped*")</f>
        <v>1</v>
      </c>
      <c r="N9" s="637">
        <f>COUNTIF(After!$H$4:$H$1003,"*ped*")</f>
        <v>0</v>
      </c>
      <c r="O9" s="638">
        <f>IFERROR((N9-M9)/M9, "n/a")</f>
        <v>-1</v>
      </c>
      <c r="V9" s="100"/>
      <c r="W9" s="100"/>
      <c r="X9" s="100"/>
      <c r="Y9" s="100"/>
      <c r="Z9" s="100"/>
      <c r="AA9" s="100"/>
      <c r="AB9" s="100"/>
    </row>
    <row r="10" spans="2:31" ht="14.7" thickBot="1">
      <c r="B10" s="5" t="s">
        <v>717</v>
      </c>
      <c r="C10" s="5" t="s">
        <v>802</v>
      </c>
      <c r="F10" s="100"/>
      <c r="G10" s="629" t="s">
        <v>721</v>
      </c>
      <c r="H10" s="109">
        <f>COUNTIF(Before!$H$4:$H$1003, $G$9&amp; " " &amp;$G10&amp;"*")</f>
        <v>0</v>
      </c>
      <c r="I10" s="109">
        <f>COUNTIF(After!$H$4:$H$1003, $G$9&amp; " " &amp;$G10&amp;"*")</f>
        <v>0</v>
      </c>
      <c r="J10" s="110" t="str">
        <f>IFERROR((I10-H10)/H10, "n/a")</f>
        <v>n/a</v>
      </c>
      <c r="K10" s="100"/>
      <c r="L10" s="639" t="s">
        <v>316</v>
      </c>
      <c r="M10" s="640">
        <f>COUNTIF(Before!$H$4:$H$1003,"Bike*")</f>
        <v>0</v>
      </c>
      <c r="N10" s="640">
        <f>COUNTIF(After!$H$4:$H$1003,"*Bike*")</f>
        <v>0</v>
      </c>
      <c r="O10" s="641" t="str">
        <f>IFERROR((N10-M10)/M10, "n/a")</f>
        <v>n/a</v>
      </c>
      <c r="R10" s="5" t="s">
        <v>803</v>
      </c>
      <c r="V10" s="100"/>
      <c r="W10" s="5" t="s">
        <v>804</v>
      </c>
      <c r="AA10" s="100"/>
      <c r="AB10" s="628"/>
      <c r="AC10" t="s">
        <v>805</v>
      </c>
    </row>
    <row r="11" spans="2:31">
      <c r="B11" s="629" t="s">
        <v>721</v>
      </c>
      <c r="C11" s="109">
        <f>COUNTIF(Before!$H$4:$H$1003,$B$10&amp;"*"&amp;$B11&amp;" LT*")</f>
        <v>1</v>
      </c>
      <c r="D11" s="109">
        <f>COUNTIF(After!$H$4:$H$1003,$B$10&amp;"*"&amp;$B11&amp;" LT*")</f>
        <v>2</v>
      </c>
      <c r="E11" s="110">
        <f>IFERROR((D11-C11)/C11, "n/a")</f>
        <v>1</v>
      </c>
      <c r="F11" s="100"/>
      <c r="G11" s="631" t="s">
        <v>722</v>
      </c>
      <c r="H11" s="632">
        <f>COUNTIF(Before!$H$4:$H$1003, $G$9&amp; " " &amp;$G11&amp;"*")</f>
        <v>0</v>
      </c>
      <c r="I11" s="632">
        <f>COUNTIF(After!$H$4:$H$1003, $G$9&amp; " " &amp;$G11&amp;"*")</f>
        <v>0</v>
      </c>
      <c r="J11" s="101" t="str">
        <f>IFERROR((I11-H11)/H11, "n/a")</f>
        <v>n/a</v>
      </c>
      <c r="K11" s="100"/>
      <c r="L11" s="639" t="s">
        <v>317</v>
      </c>
      <c r="M11" s="640">
        <f>COUNTIF(Before!$H$4:$H$1003,"Animal*")</f>
        <v>0</v>
      </c>
      <c r="N11" s="640">
        <f>COUNTIF(After!$H$4:$H$1003,"*animal*")</f>
        <v>0</v>
      </c>
      <c r="O11" s="641" t="str">
        <f>IFERROR((N11-M11)/M11, "n/a")</f>
        <v>n/a</v>
      </c>
      <c r="R11" s="629" t="s">
        <v>721</v>
      </c>
      <c r="S11" s="109">
        <f>SUM(H3,H10,H17,H24,H31)+COUNTIF(Before!$H$4:$H$1003,"Overturn "&amp;$R11&amp;"*")</f>
        <v>0</v>
      </c>
      <c r="T11" s="109">
        <f>SUM(I3,I10,I17,I24,I31)+COUNTIF(After!$H$4:$H$1003,"Overturn "&amp;$R11&amp;"*")</f>
        <v>0</v>
      </c>
      <c r="U11" s="110" t="str">
        <f t="shared" ref="U11:U16" si="4">IFERROR((T11-S11)/S11, "n/a")</f>
        <v>n/a</v>
      </c>
      <c r="W11" s="630" t="s">
        <v>806</v>
      </c>
      <c r="X11" s="109" cm="1">
        <f t="array" ref="X11">SUMPRODUCT((MID(Before!$H$4:$H$1003, FIND(" ", Before!$H$4:$H$1003 &amp; " ") + 1, 2) = "NB") * (Before!$M$4:$M$1003 &lt;&gt; ""))</f>
        <v>0</v>
      </c>
      <c r="Y11" s="109" cm="1">
        <f t="array" ref="Y11">SUMPRODUCT((MID(After!$H$4:$H$1003, FIND(" ", After!$H$4:$H$1003 &amp; " ") + 1, 2) = "NB") * (After!$M$4:$M$1003 &lt;&gt; ""))</f>
        <v>0</v>
      </c>
      <c r="Z11" s="110" t="str">
        <f t="shared" ref="Z11:Z16" si="5">IFERROR((Y11-X11)/X11, "n/a")</f>
        <v>n/a</v>
      </c>
      <c r="AB11" s="630" t="s">
        <v>721</v>
      </c>
      <c r="AC11" s="109" cm="1">
        <f t="array" ref="AC11">SUMPRODUCT((MID(Before!$H$4:$H$1003, FIND(" ", Before!$H$4:$H$1003 &amp; " ") + 1, 2) = $AB11) * (Before!$J$4:$J$1003 = $AB$10))</f>
        <v>0</v>
      </c>
      <c r="AD11" s="109" cm="1">
        <f t="array" ref="AD11">SUMPRODUCT((MID(After!$H$4:$H$1003, FIND(" ", After!$H$4:$H$1003 &amp; " ") + 1, 2) = $AB11) * (After!$J$4:$J$1003 = $AB$10))</f>
        <v>0</v>
      </c>
      <c r="AE11" s="110" t="str">
        <f t="shared" ref="AE11:AE16" si="6">IFERROR((AD11-AC11)/AC11, "n/a")</f>
        <v>n/a</v>
      </c>
    </row>
    <row r="12" spans="2:31" ht="14.7" thickBot="1">
      <c r="B12" s="631" t="s">
        <v>722</v>
      </c>
      <c r="C12" s="632">
        <f>COUNTIF(Before!$H$4:$H$1003,$B$10&amp;"*"&amp;$B12&amp;" LT*")</f>
        <v>3</v>
      </c>
      <c r="D12" s="632">
        <f>COUNTIF(After!$H$4:$H$1003,$B$10&amp;"*"&amp;$B12&amp;" LT*")</f>
        <v>1</v>
      </c>
      <c r="E12" s="101">
        <f>IFERROR((D12-C12)/C12, "n/a")</f>
        <v>-0.66666666666666663</v>
      </c>
      <c r="F12" s="100"/>
      <c r="G12" s="631" t="s">
        <v>723</v>
      </c>
      <c r="H12" s="632">
        <f>COUNTIF(Before!$H$4:$H$1003, $G$9&amp; " " &amp;$G12&amp;"*")</f>
        <v>0</v>
      </c>
      <c r="I12" s="632">
        <f>COUNTIF(After!$H$4:$H$1003, $G$9&amp; " " &amp;$G12&amp;"*")</f>
        <v>1</v>
      </c>
      <c r="J12" s="101" t="str">
        <f>IFERROR((I12-H12)/H12, "n/a")</f>
        <v>n/a</v>
      </c>
      <c r="K12" s="100"/>
      <c r="L12" s="642" t="s">
        <v>318</v>
      </c>
      <c r="M12" s="643">
        <f>COUNTIF(Before!$H$4:$H$1003,"Other*")</f>
        <v>1</v>
      </c>
      <c r="N12" s="643">
        <f>COUNTIF(After!$H$4:$H$1003,"*other*")</f>
        <v>0</v>
      </c>
      <c r="O12" s="644">
        <f>IFERROR((N12-M12)/M12, "n/a")</f>
        <v>-1</v>
      </c>
      <c r="R12" s="631" t="s">
        <v>722</v>
      </c>
      <c r="S12" s="632">
        <f>SUM(H4,H11,H18,H25,H32)+COUNTIF(Before!$H$4:$H$1003,"Overturn "&amp;$R12&amp;"*")</f>
        <v>0</v>
      </c>
      <c r="T12" s="632">
        <f>SUM(I4,I11,I18,I25,I32)+COUNTIF(After!$H$4:$H$1003,"Overturn "&amp;$R12&amp;"*")</f>
        <v>0</v>
      </c>
      <c r="U12" s="101" t="str">
        <f t="shared" si="4"/>
        <v>n/a</v>
      </c>
      <c r="W12" s="633" t="s">
        <v>807</v>
      </c>
      <c r="X12" s="632" cm="1">
        <f t="array" ref="X12">SUMPRODUCT((MID(Before!$H$4:$H$1003, FIND(" ", Before!$H$4:$H$1003 &amp; " ") + 1, 2) = "SB") * (Before!$M$4:$M$1003 &lt;&gt; ""))</f>
        <v>0</v>
      </c>
      <c r="Y12" s="632" cm="1">
        <f t="array" ref="Y12">SUMPRODUCT((MID(After!$H$4:$H$1003, FIND(" ", After!$H$4:$H$1003 &amp; " ") + 1, 2) = "SB") * (After!$M$4:$M$1003 &lt;&gt; ""))</f>
        <v>0</v>
      </c>
      <c r="Z12" s="101" t="str">
        <f t="shared" si="5"/>
        <v>n/a</v>
      </c>
      <c r="AB12" s="633" t="s">
        <v>722</v>
      </c>
      <c r="AC12" s="632" cm="1">
        <f t="array" ref="AC12">SUMPRODUCT((MID(Before!$H$4:$H$1003, FIND(" ", Before!$H$4:$H$1003 &amp; " ") + 1, 2) = $AB12) * (Before!$J$4:$J$1003 = $AB$10))</f>
        <v>1</v>
      </c>
      <c r="AD12" s="632" cm="1">
        <f t="array" ref="AD12">SUMPRODUCT((MID(After!$H$4:$H$1003, FIND(" ", After!$H$4:$H$1003 &amp; " ") + 1, 2) = $AB12) * (After!$J$4:$J$1003 = $AB$10))</f>
        <v>0</v>
      </c>
      <c r="AE12" s="101">
        <f t="shared" si="6"/>
        <v>-1</v>
      </c>
    </row>
    <row r="13" spans="2:31" ht="14.7" thickBot="1">
      <c r="B13" s="631" t="s">
        <v>723</v>
      </c>
      <c r="C13" s="632">
        <f>COUNTIF(Before!$H$4:$H$1003,$B$10&amp;"*"&amp;$B13&amp;" LT*")</f>
        <v>0</v>
      </c>
      <c r="D13" s="632">
        <f>COUNTIF(After!$H$4:$H$1003,$B$10&amp;"*"&amp;$B13&amp;" LT*")</f>
        <v>1</v>
      </c>
      <c r="E13" s="101" t="str">
        <f>IFERROR((D13-C13)/C13, "n/a")</f>
        <v>n/a</v>
      </c>
      <c r="F13" s="100"/>
      <c r="G13" s="634" t="s">
        <v>724</v>
      </c>
      <c r="H13" s="635">
        <f>COUNTIF(Before!$H$4:$H$1003, $G$9&amp; " " &amp;$G13&amp;"*")</f>
        <v>0</v>
      </c>
      <c r="I13" s="635">
        <f>COUNTIF(After!$H$4:$H$1003, $G$9&amp; " " &amp;$G13&amp;"*")</f>
        <v>0</v>
      </c>
      <c r="J13" s="102" t="str">
        <f>IFERROR((I13-H13)/H13, "n/a")</f>
        <v>n/a</v>
      </c>
      <c r="K13" s="100"/>
      <c r="R13" s="631" t="s">
        <v>723</v>
      </c>
      <c r="S13" s="632">
        <f>SUM(H5,H12,H19,H26,H33)+COUNTIF(Before!$H$4:$H$1003,"Overturn "&amp;$R13&amp;"*")</f>
        <v>3</v>
      </c>
      <c r="T13" s="632">
        <f>SUM(I5,I12,I19,I26,I33)+COUNTIF(After!$H$4:$H$1003,"Overturn "&amp;$R13&amp;"*")</f>
        <v>3</v>
      </c>
      <c r="U13" s="101">
        <f t="shared" si="4"/>
        <v>0</v>
      </c>
      <c r="W13" s="633" t="s">
        <v>808</v>
      </c>
      <c r="X13" s="632" cm="1">
        <f t="array" ref="X13">SUMPRODUCT((MID(Before!$H$4:$H$1003, FIND(" ", Before!$H$4:$H$1003 &amp; " ") + 1, 2) = "EB") * (Before!$M$4:$M$1003 &lt;&gt; ""))</f>
        <v>0</v>
      </c>
      <c r="Y13" s="632" cm="1">
        <f t="array" ref="Y13">SUMPRODUCT((MID(After!$H$4:$H$1003, FIND(" ", After!$H$4:$H$1003 &amp; " ") + 1, 2) = "EB") * (After!$M$4:$M$1003 &lt;&gt; ""))</f>
        <v>0</v>
      </c>
      <c r="Z13" s="101" t="str">
        <f t="shared" si="5"/>
        <v>n/a</v>
      </c>
      <c r="AB13" s="633" t="s">
        <v>723</v>
      </c>
      <c r="AC13" s="632" cm="1">
        <f t="array" ref="AC13">SUMPRODUCT((MID(Before!$H$4:$H$1003, FIND(" ", Before!$H$4:$H$1003 &amp; " ") + 1, 2) = $AB13) * (Before!$J$4:$J$1003 = $AB$10))</f>
        <v>1</v>
      </c>
      <c r="AD13" s="632" cm="1">
        <f t="array" ref="AD13">SUMPRODUCT((MID(After!$H$4:$H$1003, FIND(" ", After!$H$4:$H$1003 &amp; " ") + 1, 2) = $AB13) * (After!$J$4:$J$1003 = $AB$10))</f>
        <v>1</v>
      </c>
      <c r="AE13" s="101">
        <f t="shared" si="6"/>
        <v>0</v>
      </c>
    </row>
    <row r="14" spans="2:31" ht="14.7" thickBot="1">
      <c r="B14" s="634" t="s">
        <v>724</v>
      </c>
      <c r="C14" s="635">
        <f>COUNTIF(Before!$H$4:$H$1003,$B$10&amp;"*"&amp;$B14&amp;" LT*")</f>
        <v>0</v>
      </c>
      <c r="D14" s="635">
        <f>COUNTIF(After!$H$4:$H$1003,$B$10&amp;"*"&amp;$B14&amp;" LT*")</f>
        <v>1</v>
      </c>
      <c r="E14" s="102" t="str">
        <f>IFERROR((D14-C14)/C14, "n/a")</f>
        <v>n/a</v>
      </c>
      <c r="G14" s="106" t="s">
        <v>799</v>
      </c>
      <c r="H14" s="107">
        <f>SUM(H10:H13)</f>
        <v>0</v>
      </c>
      <c r="I14" s="107">
        <f>SUM(I10:I13)</f>
        <v>1</v>
      </c>
      <c r="J14" s="108" t="str">
        <f>IFERROR((I14-H14)/H14, "n/a")</f>
        <v>n/a</v>
      </c>
      <c r="L14" s="645" t="s">
        <v>809</v>
      </c>
      <c r="M14" s="646">
        <f>SUM(C8,C15,C22,C29,C36,C43,C50,H7,H14,H21,H28,H36,H38,M7,M9:M12)</f>
        <v>20</v>
      </c>
      <c r="N14" s="647">
        <f>SUM(D8,D15,D22,D29,D36,D43,D50,I7,I14,I21,I28,I36,I38,N7,N9:N12)</f>
        <v>35</v>
      </c>
      <c r="O14" s="648">
        <f>IFERROR((N14-M14)/M14, "n/a")</f>
        <v>0.75</v>
      </c>
      <c r="R14" s="631" t="s">
        <v>724</v>
      </c>
      <c r="S14" s="632">
        <f>SUM(H6,H13,H20,H27,H34)+COUNTIF(Before!$H$4:$H$1003,"Overturn "&amp;$R14&amp;"*")</f>
        <v>1</v>
      </c>
      <c r="T14" s="632">
        <f>SUM(I6,I13,I20,I27,I34)+COUNTIF(After!$H$4:$H$1003,"Overturn "&amp;$R14&amp;"*")</f>
        <v>0</v>
      </c>
      <c r="U14" s="101">
        <f t="shared" si="4"/>
        <v>-1</v>
      </c>
      <c r="W14" s="633" t="s">
        <v>810</v>
      </c>
      <c r="X14" s="632" cm="1">
        <f t="array" ref="X14">SUMPRODUCT((MID(Before!$H$4:$H$1003, FIND(" ", Before!$H$4:$H$1003 &amp; " ") + 1, 2) = "WB") * (Before!$M$4:$M$1003 &lt;&gt; ""))</f>
        <v>0</v>
      </c>
      <c r="Y14" s="632" cm="1">
        <f t="array" ref="Y14">SUMPRODUCT((MID(After!$H$4:$H$1003, FIND(" ", After!$H$4:$H$1003 &amp; " ") + 1, 2) = "WB") * (After!$M$4:$M$1003 &lt;&gt; ""))</f>
        <v>0</v>
      </c>
      <c r="Z14" s="101" t="str">
        <f t="shared" si="5"/>
        <v>n/a</v>
      </c>
      <c r="AB14" s="633" t="s">
        <v>724</v>
      </c>
      <c r="AC14" s="632" cm="1">
        <f t="array" ref="AC14">SUMPRODUCT((MID(Before!$H$4:$H$1003, FIND(" ", Before!$H$4:$H$1003 &amp; " ") + 1, 2) = $AB14) * (Before!$J$4:$J$1003 = $AB$10))</f>
        <v>0</v>
      </c>
      <c r="AD14" s="632" cm="1">
        <f t="array" ref="AD14">SUMPRODUCT((MID(After!$H$4:$H$1003, FIND(" ", After!$H$4:$H$1003 &amp; " ") + 1, 2) = $AB14) * (After!$J$4:$J$1003 = $AB$10))</f>
        <v>2</v>
      </c>
      <c r="AE14" s="101" t="str">
        <f t="shared" si="6"/>
        <v>n/a</v>
      </c>
    </row>
    <row r="15" spans="2:31" ht="14.7" thickBot="1">
      <c r="B15" s="106" t="s">
        <v>799</v>
      </c>
      <c r="C15" s="107">
        <f>SUM(C11:C14)</f>
        <v>4</v>
      </c>
      <c r="D15" s="107">
        <f>SUM(D11:D14)</f>
        <v>5</v>
      </c>
      <c r="E15" s="108">
        <f>IFERROR((D15-C15)/C15, "n/a")</f>
        <v>0.25</v>
      </c>
      <c r="R15" s="634" t="s">
        <v>310</v>
      </c>
      <c r="S15" s="635">
        <f>SUM(H7,H14,H21,H28,H35)+COUNTIF(Before!$H$4:$H$1003,"Overturn "&amp;$R15&amp;"*")</f>
        <v>4</v>
      </c>
      <c r="T15" s="635">
        <f>SUM(I7,I14,I21,I28,I35)+COUNTIF(After!$H$4:$H$1003,"Overturn "&amp;$R15&amp;"*")</f>
        <v>3</v>
      </c>
      <c r="U15" s="102">
        <f t="shared" si="4"/>
        <v>-0.25</v>
      </c>
      <c r="W15" s="636" t="s">
        <v>811</v>
      </c>
      <c r="X15" s="635" cm="1">
        <f t="array" ref="X15">SUMPRODUCT((MID(Before!$H$4:$H$1003, FIND(" ", Before!$H$4:$H$1003 &amp; " ")+1, 7) = "Unclear") * (Before!$M$4:$M$1003 &lt;&gt; ""))</f>
        <v>0</v>
      </c>
      <c r="Y15" s="635" cm="1">
        <f t="array" ref="Y15">SUMPRODUCT((MID(After!$H$4:$H$1003, FIND(" ", After!$H$4:$H$1003 &amp; " ")+1, 7) = "Unclear") * (After!$M$4:$M$1003 &lt;&gt; ""))</f>
        <v>0</v>
      </c>
      <c r="Z15" s="102" t="str">
        <f t="shared" si="5"/>
        <v>n/a</v>
      </c>
      <c r="AB15" s="636" t="s">
        <v>310</v>
      </c>
      <c r="AC15" s="635" cm="1">
        <f t="array" ref="AC15">SUMPRODUCT((MID(Before!$H$4:$H$1003, FIND(" ", Before!$H$4:$H$1003 &amp; " ")+1, 7) = $AB15) * (Before!$J$4:$J$1003 = $AB$10))</f>
        <v>0</v>
      </c>
      <c r="AD15" s="635" cm="1">
        <f t="array" ref="AD15">SUMPRODUCT((MID(After!$H$4:$H$1003, FIND(" ", After!$H$4:$H$1003 &amp; " ")+1, 7) = $AB15) * (After!$J$4:$J$1003 = $AB$10))</f>
        <v>0</v>
      </c>
      <c r="AE15" s="102" t="str">
        <f t="shared" si="6"/>
        <v>n/a</v>
      </c>
    </row>
    <row r="16" spans="2:31" ht="14.7" thickBot="1">
      <c r="F16" s="100"/>
      <c r="G16" s="5" t="s">
        <v>315</v>
      </c>
      <c r="H16" s="5" t="s">
        <v>790</v>
      </c>
      <c r="K16" s="100"/>
      <c r="R16" s="106" t="s">
        <v>799</v>
      </c>
      <c r="S16" s="107">
        <f>SUM(S10:S14)</f>
        <v>4</v>
      </c>
      <c r="T16" s="107">
        <f>SUM(T10:T14)</f>
        <v>3</v>
      </c>
      <c r="U16" s="108">
        <f t="shared" si="4"/>
        <v>-0.25</v>
      </c>
      <c r="W16" s="106" t="s">
        <v>799</v>
      </c>
      <c r="X16" s="107">
        <f>SUM(X11:X15)</f>
        <v>0</v>
      </c>
      <c r="Y16" s="107">
        <f>SUM(Y11:Y15)</f>
        <v>0</v>
      </c>
      <c r="Z16" s="108" t="str">
        <f t="shared" si="5"/>
        <v>n/a</v>
      </c>
      <c r="AB16" s="106" t="s">
        <v>799</v>
      </c>
      <c r="AC16" s="107">
        <f>SUM(AC11:AC15)</f>
        <v>2</v>
      </c>
      <c r="AD16" s="107">
        <f>SUM(AD11:AD15)</f>
        <v>3</v>
      </c>
      <c r="AE16" s="108">
        <f t="shared" si="6"/>
        <v>0.5</v>
      </c>
    </row>
    <row r="17" spans="2:31" ht="14.7" thickBot="1">
      <c r="B17" s="5" t="s">
        <v>718</v>
      </c>
      <c r="C17" s="5" t="s">
        <v>802</v>
      </c>
      <c r="F17" s="100"/>
      <c r="G17" s="629" t="s">
        <v>721</v>
      </c>
      <c r="H17" s="109">
        <f>COUNTIF(Before!$H$4:$H$1003, $G$16&amp; " " &amp;$G17&amp;"*")</f>
        <v>0</v>
      </c>
      <c r="I17" s="109">
        <f>COUNTIF(After!$H$4:$H$1003, $G$16&amp; " " &amp;$G17&amp;"*")</f>
        <v>0</v>
      </c>
      <c r="J17" s="110" t="str">
        <f>IFERROR((I17-H17)/H17, "n/a")</f>
        <v>n/a</v>
      </c>
      <c r="K17" s="100"/>
    </row>
    <row r="18" spans="2:31" ht="14.7" thickBot="1">
      <c r="B18" s="629" t="s">
        <v>721</v>
      </c>
      <c r="C18" s="109">
        <f>COUNTIF(Before!$H$4:$H$1003,$B$17&amp;"*"&amp;$B18&amp;" LT*")</f>
        <v>0</v>
      </c>
      <c r="D18" s="109">
        <f>COUNTIF(After!$H$4:$H$1003,$B$17&amp;"*"&amp;$B18&amp;" LT*")</f>
        <v>0</v>
      </c>
      <c r="E18" s="110" t="str">
        <f>IFERROR((D18-C18)/C18, "n/a")</f>
        <v>n/a</v>
      </c>
      <c r="F18" s="100"/>
      <c r="G18" s="631" t="s">
        <v>722</v>
      </c>
      <c r="H18" s="632">
        <f>COUNTIF(Before!$H$4:$H$1003, $G$16&amp; " " &amp;$G18&amp;"*")</f>
        <v>0</v>
      </c>
      <c r="I18" s="632">
        <f>COUNTIF(After!$H$4:$H$1003, $G$16&amp; " " &amp;$G18&amp;"*")</f>
        <v>0</v>
      </c>
      <c r="J18" s="101" t="str">
        <f>IFERROR((I18-H18)/H18, "n/a")</f>
        <v>n/a</v>
      </c>
      <c r="K18" s="100"/>
      <c r="R18" s="111" t="s">
        <v>319</v>
      </c>
      <c r="S18" s="637">
        <f>COUNTIFS(Before!$D$4:$D$1003,"&gt;=2",Before!$D$4:$D$1003,"&lt;=3")</f>
        <v>5</v>
      </c>
      <c r="T18" s="637">
        <f>COUNTIFS(After!$D$4:$D$1003,"&gt;=2",After!$D$4:$D$1003,"&lt;=3")</f>
        <v>4</v>
      </c>
      <c r="U18" s="638">
        <f>IFERROR((T18-S18)/S18, "n/a")</f>
        <v>-0.2</v>
      </c>
      <c r="W18" s="5" t="s">
        <v>812</v>
      </c>
      <c r="AB18" s="628"/>
      <c r="AC18" t="s">
        <v>813</v>
      </c>
    </row>
    <row r="19" spans="2:31" ht="14.7" thickBot="1">
      <c r="B19" s="631" t="s">
        <v>722</v>
      </c>
      <c r="C19" s="632">
        <f>COUNTIF(Before!$H$4:$H$1003,$B$17&amp;"*"&amp;$B19&amp;" LT*")</f>
        <v>0</v>
      </c>
      <c r="D19" s="632">
        <f>COUNTIF(After!$H$4:$H$1003,$B$17&amp;"*"&amp;$B19&amp;" LT*")</f>
        <v>2</v>
      </c>
      <c r="E19" s="101" t="str">
        <f>IFERROR((D19-C19)/C19, "n/a")</f>
        <v>n/a</v>
      </c>
      <c r="F19" s="100"/>
      <c r="G19" s="631" t="s">
        <v>723</v>
      </c>
      <c r="H19" s="632">
        <f>COUNTIF(Before!$H$4:$H$1003, $G$16&amp; " " &amp;$G19&amp;"*")</f>
        <v>0</v>
      </c>
      <c r="I19" s="632">
        <f>COUNTIF(After!$H$4:$H$1003, $G$16&amp; " " &amp;$G19&amp;"*")</f>
        <v>0</v>
      </c>
      <c r="J19" s="101" t="str">
        <f>IFERROR((I19-H19)/H19, "n/a")</f>
        <v>n/a</v>
      </c>
      <c r="K19" s="100"/>
      <c r="R19" s="642" t="s">
        <v>814</v>
      </c>
      <c r="S19" s="643">
        <f>COUNTIFS(Before!$F$4:$F$1003,"&gt;=4",Before!$F$4:$F$1003,"&lt;=6")</f>
        <v>1</v>
      </c>
      <c r="T19" s="643">
        <f>COUNTIFS(After!$F$4:$F$1003,"&gt;=4",After!$F$4:$F$1003,"&lt;=6")</f>
        <v>3</v>
      </c>
      <c r="U19" s="644">
        <f>IFERROR((T19-S19)/S19, "n/a")</f>
        <v>2</v>
      </c>
      <c r="W19" s="630" t="s">
        <v>815</v>
      </c>
      <c r="X19" s="109" cm="1">
        <f t="array" ref="X19">SUMPRODUCT((MID(Before!$H$4:$H$1003, FIND(" ", Before!$H$4:$H$1003 &amp; " ") + 1, 2) = "NB") * (Before!$N$4:$N$1003 &lt;&gt; ""))</f>
        <v>0</v>
      </c>
      <c r="Y19" s="109" cm="1">
        <f t="array" ref="Y19">SUMPRODUCT((MID(After!$H$4:$H$1003, FIND(" ", After!$H$4:$H$1003 &amp; " ") + 1, 2) = "NB") * (After!$N$4:$N$1003 &lt;&gt; ""))</f>
        <v>0</v>
      </c>
      <c r="Z19" s="110" t="str">
        <f t="shared" ref="Z19:Z24" si="7">IFERROR((Y19-X19)/X19, "n/a")</f>
        <v>n/a</v>
      </c>
      <c r="AB19" s="630" t="s">
        <v>721</v>
      </c>
      <c r="AC19" s="109" cm="1">
        <f t="array" ref="AC19">SUMPRODUCT((MID(Before!$H$4:$H$1003, FIND(" ", Before!$H$4:$H$1003 &amp; " ") + 1, 2) = $AB19) * (Before!$K$4:$K$1003 = $AB$18))</f>
        <v>0</v>
      </c>
      <c r="AD19" s="109" cm="1">
        <f t="array" ref="AD19">SUMPRODUCT((MID(After!$H$4:$H$1003, FIND(" ", After!$H$4:$H$1003 &amp; " ") + 1, 2) = $AB19) * (After!$K$4:$K$1003 = $AB$18))</f>
        <v>0</v>
      </c>
      <c r="AE19" s="110" t="str">
        <f t="shared" ref="AE19:AE24" si="8">IFERROR((AD19-AC19)/AC19, "n/a")</f>
        <v>n/a</v>
      </c>
    </row>
    <row r="20" spans="2:31" ht="14.7" thickBot="1">
      <c r="B20" s="631" t="s">
        <v>723</v>
      </c>
      <c r="C20" s="632">
        <f>COUNTIF(Before!$H$4:$H$1003,$B$17&amp;"*"&amp;$B20&amp;" LT*")</f>
        <v>0</v>
      </c>
      <c r="D20" s="632">
        <f>COUNTIF(After!$H$4:$H$1003,$B$17&amp;"*"&amp;$B20&amp;" LT*")</f>
        <v>2</v>
      </c>
      <c r="E20" s="101" t="str">
        <f>IFERROR((D20-C20)/C20, "n/a")</f>
        <v>n/a</v>
      </c>
      <c r="G20" s="634" t="s">
        <v>724</v>
      </c>
      <c r="H20" s="635">
        <f>COUNTIF(Before!$H$4:$H$1003, $G$16&amp; " " &amp;$G20&amp;"*")</f>
        <v>0</v>
      </c>
      <c r="I20" s="635">
        <f>COUNTIF(After!$H$4:$H$1003, $G$16&amp; " " &amp;$G20&amp;"*")</f>
        <v>0</v>
      </c>
      <c r="J20" s="102" t="str">
        <f>IFERROR((I20-H20)/H20, "n/a")</f>
        <v>n/a</v>
      </c>
      <c r="W20" s="633" t="s">
        <v>816</v>
      </c>
      <c r="X20" s="632" cm="1">
        <f t="array" ref="X20">SUMPRODUCT((MID(Before!$H$4:$H$1003, FIND(" ", Before!$H$4:$H$1003 &amp; " ") + 1, 2) = "SB") * (Before!$N$4:$N$1003 &lt;&gt; ""))</f>
        <v>0</v>
      </c>
      <c r="Y20" s="632" cm="1">
        <f t="array" ref="Y20">SUMPRODUCT((MID(After!$H$4:$H$1003, FIND(" ", After!$H$4:$H$1003 &amp; " ") + 1, 2) = "SB") * (After!$N$4:$N$1003 &lt;&gt; ""))</f>
        <v>0</v>
      </c>
      <c r="Z20" s="101" t="str">
        <f t="shared" si="7"/>
        <v>n/a</v>
      </c>
      <c r="AB20" s="633" t="s">
        <v>722</v>
      </c>
      <c r="AC20" s="632" cm="1">
        <f t="array" ref="AC20">SUMPRODUCT((MID(Before!$H$4:$H$1003, FIND(" ", Before!$H$4:$H$1003 &amp; " ") + 1, 2) = $AB20) * (Before!$K$4:$K$1003 = $AB$18))</f>
        <v>0</v>
      </c>
      <c r="AD20" s="632" cm="1">
        <f t="array" ref="AD20">SUMPRODUCT((MID(After!$H$4:$H$1003, FIND(" ", After!$H$4:$H$1003 &amp; " ") + 1, 2) = $AB20) * (After!$K$4:$K$1003 = $AB$18))</f>
        <v>0</v>
      </c>
      <c r="AE20" s="101" t="str">
        <f t="shared" si="8"/>
        <v>n/a</v>
      </c>
    </row>
    <row r="21" spans="2:31" ht="14.7" thickBot="1">
      <c r="B21" s="634" t="s">
        <v>724</v>
      </c>
      <c r="C21" s="635">
        <f>COUNTIF(Before!$H$4:$H$1003,$B$17&amp;"*"&amp;$B21&amp;" LT*")</f>
        <v>0</v>
      </c>
      <c r="D21" s="635">
        <f>COUNTIF(After!$H$4:$H$1003,$B$17&amp;"*"&amp;$B21&amp;" LT*")</f>
        <v>0</v>
      </c>
      <c r="E21" s="102" t="str">
        <f>IFERROR((D21-C21)/C21, "n/a")</f>
        <v>n/a</v>
      </c>
      <c r="G21" s="106" t="s">
        <v>799</v>
      </c>
      <c r="H21" s="107">
        <f>SUM(H17:H20)</f>
        <v>0</v>
      </c>
      <c r="I21" s="107">
        <f>SUM(I17:I20)</f>
        <v>0</v>
      </c>
      <c r="J21" s="108" t="str">
        <f>IFERROR((I21-H21)/H21, "n/a")</f>
        <v>n/a</v>
      </c>
      <c r="R21" s="649" t="s">
        <v>817</v>
      </c>
      <c r="S21" s="650">
        <f>COUNTIF(Before!$H$4:$H$1003,"Avoidance*")</f>
        <v>0</v>
      </c>
      <c r="T21" s="650">
        <f>COUNTIF(After!$H$4:$H$1003,"*Avoidance*")</f>
        <v>0</v>
      </c>
      <c r="U21" s="651" t="str">
        <f>IFERROR((T21-S21)/S21, "n/a")</f>
        <v>n/a</v>
      </c>
      <c r="W21" s="633" t="s">
        <v>818</v>
      </c>
      <c r="X21" s="632" cm="1">
        <f t="array" ref="X21">SUMPRODUCT((MID(Before!$H$4:$H$1003, FIND(" ", Before!$H$4:$H$1003 &amp; " ") + 1, 2) = "EB") * (Before!$N$4:$N$1003 &lt;&gt; ""))</f>
        <v>0</v>
      </c>
      <c r="Y21" s="632" cm="1">
        <f t="array" ref="Y21">SUMPRODUCT((MID(After!$H$4:$H$1003, FIND(" ", After!$H$4:$H$1003 &amp; " ") + 1, 2) = "EB") * (After!$N$4:$N$1003 &lt;&gt; ""))</f>
        <v>0</v>
      </c>
      <c r="Z21" s="101" t="str">
        <f t="shared" si="7"/>
        <v>n/a</v>
      </c>
      <c r="AB21" s="633" t="s">
        <v>723</v>
      </c>
      <c r="AC21" s="632" cm="1">
        <f t="array" ref="AC21">SUMPRODUCT((MID(Before!$H$4:$H$1003, FIND(" ", Before!$H$4:$H$1003 &amp; " ") + 1, 2) = $AB21) * (Before!$K$4:$K$1003 = $AB$18))</f>
        <v>0</v>
      </c>
      <c r="AD21" s="632" cm="1">
        <f t="array" ref="AD21">SUMPRODUCT((MID(After!$H$4:$H$1003, FIND(" ", After!$H$4:$H$1003 &amp; " ") + 1, 2) = $AB21) * (After!$K$4:$K$1003 = $AB$18))</f>
        <v>0</v>
      </c>
      <c r="AE21" s="101" t="str">
        <f t="shared" si="8"/>
        <v>n/a</v>
      </c>
    </row>
    <row r="22" spans="2:31" ht="14.7" thickBot="1">
      <c r="B22" s="106" t="s">
        <v>799</v>
      </c>
      <c r="C22" s="107">
        <f>SUM(C18:C21)</f>
        <v>0</v>
      </c>
      <c r="D22" s="107">
        <f>SUM(D18:D21)</f>
        <v>4</v>
      </c>
      <c r="E22" s="108" t="str">
        <f>IFERROR((D22-C22)/C22, "n/a")</f>
        <v>n/a</v>
      </c>
      <c r="F22" s="100"/>
      <c r="K22" s="100"/>
      <c r="W22" s="633" t="s">
        <v>819</v>
      </c>
      <c r="X22" s="632" cm="1">
        <f t="array" ref="X22">SUMPRODUCT((MID(Before!$H$4:$H$1003, FIND(" ", Before!$H$4:$H$1003 &amp; " ") + 1, 2) = "WB") * (Before!$N$4:$N$1003 &lt;&gt; ""))</f>
        <v>0</v>
      </c>
      <c r="Y22" s="632" cm="1">
        <f t="array" ref="Y22">SUMPRODUCT((MID(After!$H$4:$H$1003, FIND(" ", After!$H$4:$H$1003 &amp; " ") + 1, 2) = "WB") * (After!$N$4:$N$1003 &lt;&gt; ""))</f>
        <v>0</v>
      </c>
      <c r="Z22" s="101" t="str">
        <f t="shared" si="7"/>
        <v>n/a</v>
      </c>
      <c r="AB22" s="633" t="s">
        <v>724</v>
      </c>
      <c r="AC22" s="632" cm="1">
        <f t="array" ref="AC22">SUMPRODUCT((MID(Before!$H$4:$H$1003, FIND(" ", Before!$H$4:$H$1003 &amp; " ") + 1, 2) = $AB22) * (Before!$K$4:$K$1003 = $AB$18))</f>
        <v>0</v>
      </c>
      <c r="AD22" s="632" cm="1">
        <f t="array" ref="AD22">SUMPRODUCT((MID(After!$H$4:$H$1003, FIND(" ", After!$H$4:$H$1003 &amp; " ") + 1, 2) = $AB22) * (After!$K$4:$K$1003 = $AB$18))</f>
        <v>0</v>
      </c>
      <c r="AE22" s="101" t="str">
        <f t="shared" si="8"/>
        <v>n/a</v>
      </c>
    </row>
    <row r="23" spans="2:31" ht="14.7" thickBot="1">
      <c r="F23" s="100"/>
      <c r="G23" s="5" t="s">
        <v>314</v>
      </c>
      <c r="H23" s="5" t="s">
        <v>790</v>
      </c>
      <c r="K23" s="100"/>
      <c r="W23" s="636" t="s">
        <v>820</v>
      </c>
      <c r="X23" s="635" cm="1">
        <f t="array" ref="X23">SUMPRODUCT((MID(Before!$H$4:$H$1003, FIND(" ", Before!$H$4:$H$1003 &amp; " ")+1, 7) = "Unclear") * (Before!$N$4:$N$1003 &lt;&gt; ""))</f>
        <v>0</v>
      </c>
      <c r="Y23" s="635" cm="1">
        <f t="array" ref="Y23">SUMPRODUCT((MID(After!$H$4:$H$1003, FIND(" ", After!$H$4:$H$1003 &amp; " ")+1, 7) = "Unclear") * (After!$N$4:$N$1003 &lt;&gt; ""))</f>
        <v>0</v>
      </c>
      <c r="Z23" s="102" t="str">
        <f t="shared" si="7"/>
        <v>n/a</v>
      </c>
      <c r="AB23" s="636" t="s">
        <v>310</v>
      </c>
      <c r="AC23" s="635" cm="1">
        <f t="array" ref="AC23">SUMPRODUCT((MID(Before!$H$4:$H$1003, FIND(" ", Before!$H$4:$H$1003 &amp; " ")+1, 7) = $AB23) * (Before!$K$4:$K$1003 = $AB$18))</f>
        <v>0</v>
      </c>
      <c r="AD23" s="635" cm="1">
        <f t="array" ref="AD23">SUMPRODUCT((MID(After!$H$4:$H$1003, FIND(" ", After!$H$4:$H$1003 &amp; " ")+1, 7) = $AB23) * (After!$K$4:$K$1003 = $AB$18))</f>
        <v>0</v>
      </c>
      <c r="AE23" s="102" t="str">
        <f t="shared" si="8"/>
        <v>n/a</v>
      </c>
    </row>
    <row r="24" spans="2:31" ht="14.7" thickBot="1">
      <c r="B24" s="5" t="s">
        <v>719</v>
      </c>
      <c r="C24" s="5" t="s">
        <v>821</v>
      </c>
      <c r="F24" s="100"/>
      <c r="G24" s="629" t="s">
        <v>721</v>
      </c>
      <c r="H24" s="109">
        <f>COUNTIF(Before!$H$4:$H$1003, $G$23&amp; " " &amp;$G24&amp;"*")</f>
        <v>0</v>
      </c>
      <c r="I24" s="109">
        <f>COUNTIF(After!$H$4:$H$1003, $G$23&amp; " " &amp;$G24&amp;"*")</f>
        <v>0</v>
      </c>
      <c r="J24" s="110" t="str">
        <f>IFERROR((I24-H24)/H24, "n/a")</f>
        <v>n/a</v>
      </c>
      <c r="K24" s="100"/>
      <c r="W24" s="106" t="s">
        <v>799</v>
      </c>
      <c r="X24" s="107">
        <f>SUM(X19:X23)</f>
        <v>0</v>
      </c>
      <c r="Y24" s="107">
        <f>SUM(Y19:Y23)</f>
        <v>0</v>
      </c>
      <c r="Z24" s="108" t="str">
        <f t="shared" si="7"/>
        <v>n/a</v>
      </c>
      <c r="AB24" s="106" t="s">
        <v>799</v>
      </c>
      <c r="AC24" s="107">
        <f>SUM(AC19:AC23)</f>
        <v>0</v>
      </c>
      <c r="AD24" s="107">
        <f>SUM(AD19:AD23)</f>
        <v>0</v>
      </c>
      <c r="AE24" s="108" t="str">
        <f t="shared" si="8"/>
        <v>n/a</v>
      </c>
    </row>
    <row r="25" spans="2:31">
      <c r="B25" s="629" t="s">
        <v>721</v>
      </c>
      <c r="C25" s="109">
        <f>COUNTIF(Before!$H$4:$H$1003,$B$24&amp;"*"&amp;$B25&amp;" RT*")</f>
        <v>0</v>
      </c>
      <c r="D25" s="109">
        <f>COUNTIF(After!$H$4:$H$1003,$B$24&amp;"*"&amp;$B25&amp;" RT*")</f>
        <v>1</v>
      </c>
      <c r="E25" s="110" t="str">
        <f>IFERROR((D25-C25)/C25, "n/a")</f>
        <v>n/a</v>
      </c>
      <c r="F25" s="100"/>
      <c r="G25" s="631" t="s">
        <v>722</v>
      </c>
      <c r="H25" s="632">
        <f>COUNTIF(Before!$H$4:$H$1003, $G$23&amp; " " &amp;$G25&amp;"*")</f>
        <v>0</v>
      </c>
      <c r="I25" s="632">
        <f>COUNTIF(After!$H$4:$H$1003, $G$23&amp; " " &amp;$G25&amp;"*")</f>
        <v>0</v>
      </c>
      <c r="J25" s="101" t="str">
        <f>IFERROR((I25-H25)/H25, "n/a")</f>
        <v>n/a</v>
      </c>
      <c r="K25" s="100"/>
    </row>
    <row r="26" spans="2:31" ht="14.7" thickBot="1">
      <c r="B26" s="631" t="s">
        <v>722</v>
      </c>
      <c r="C26" s="632">
        <f>COUNTIF(Before!$H$4:$H$1003,$B$24&amp;"*"&amp;$B26&amp;" RT*")</f>
        <v>0</v>
      </c>
      <c r="D26" s="632">
        <f>COUNTIF(After!$H$4:$H$1003,$B$24&amp;"*"&amp;$B26&amp;" RT*")</f>
        <v>0</v>
      </c>
      <c r="E26" s="101" t="str">
        <f>IFERROR((D26-C26)/C26, "n/a")</f>
        <v>n/a</v>
      </c>
      <c r="G26" s="631" t="s">
        <v>723</v>
      </c>
      <c r="H26" s="632">
        <f>COUNTIF(Before!$H$4:$H$1003, $G$23&amp; " " &amp;$G26&amp;"*")</f>
        <v>2</v>
      </c>
      <c r="I26" s="632">
        <f>COUNTIF(After!$H$4:$H$1003, $G$23&amp; " " &amp;$G26&amp;"*")</f>
        <v>2</v>
      </c>
      <c r="J26" s="101">
        <f>IFERROR((I26-H26)/H26, "n/a")</f>
        <v>0</v>
      </c>
      <c r="W26" t="s">
        <v>822</v>
      </c>
    </row>
    <row r="27" spans="2:31" ht="14.7" thickBot="1">
      <c r="B27" s="631" t="s">
        <v>723</v>
      </c>
      <c r="C27" s="632">
        <f>COUNTIF(Before!$H$4:$H$1003,$B$24&amp;"*"&amp;$B27&amp;" RT*")</f>
        <v>0</v>
      </c>
      <c r="D27" s="632">
        <f>COUNTIF(After!$H$4:$H$1003,$B$24&amp;"*"&amp;$B27&amp;" RT*")</f>
        <v>0</v>
      </c>
      <c r="E27" s="101" t="str">
        <f>IFERROR((D27-C27)/C27, "n/a")</f>
        <v>n/a</v>
      </c>
      <c r="G27" s="634" t="s">
        <v>724</v>
      </c>
      <c r="H27" s="635">
        <f>COUNTIF(Before!$H$4:$H$1003, $G$23&amp; " " &amp;$G27&amp;"*")</f>
        <v>1</v>
      </c>
      <c r="I27" s="635">
        <f>COUNTIF(After!$H$4:$H$1003, $G$23&amp; " " &amp;$G27&amp;"*")</f>
        <v>0</v>
      </c>
      <c r="J27" s="102">
        <f>IFERROR((I27-H27)/H27, "n/a")</f>
        <v>-1</v>
      </c>
      <c r="W27" s="630" t="s">
        <v>823</v>
      </c>
      <c r="X27" s="109">
        <f>X3+X11+X19</f>
        <v>1</v>
      </c>
      <c r="Y27" s="109">
        <f>Y3+Y11+Y19</f>
        <v>2</v>
      </c>
      <c r="Z27" s="110">
        <f t="shared" ref="Z27:Z32" si="9">IFERROR((Y27-X27)/X27, "n/a")</f>
        <v>1</v>
      </c>
    </row>
    <row r="28" spans="2:31" ht="14.7" thickBot="1">
      <c r="B28" s="634" t="s">
        <v>724</v>
      </c>
      <c r="C28" s="635">
        <f>COUNTIF(Before!$H$4:$H$1003,$B$24&amp;"*"&amp;$B28&amp;" RT*")</f>
        <v>0</v>
      </c>
      <c r="D28" s="635">
        <f>COUNTIF(After!$H$4:$H$1003,$B$24&amp;"*"&amp;$B28&amp;" RT*")</f>
        <v>0</v>
      </c>
      <c r="E28" s="102" t="str">
        <f>IFERROR((D28-C28)/C28, "n/a")</f>
        <v>n/a</v>
      </c>
      <c r="F28" s="100"/>
      <c r="G28" s="106" t="s">
        <v>799</v>
      </c>
      <c r="H28" s="107">
        <f>SUM(H24:H27)</f>
        <v>3</v>
      </c>
      <c r="I28" s="107">
        <f>SUM(I24:I27)</f>
        <v>2</v>
      </c>
      <c r="J28" s="108">
        <f>IFERROR((I28-H28)/H28, "n/a")</f>
        <v>-0.33333333333333331</v>
      </c>
      <c r="K28" s="100"/>
      <c r="W28" s="633" t="s">
        <v>824</v>
      </c>
      <c r="X28" s="632">
        <f t="shared" ref="X28:Y31" si="10">X4+X12+X20</f>
        <v>3</v>
      </c>
      <c r="Y28" s="632">
        <f t="shared" si="10"/>
        <v>1</v>
      </c>
      <c r="Z28" s="101">
        <f t="shared" si="9"/>
        <v>-0.66666666666666663</v>
      </c>
    </row>
    <row r="29" spans="2:31" ht="14.7" thickBot="1">
      <c r="B29" s="106" t="s">
        <v>799</v>
      </c>
      <c r="C29" s="107">
        <f>SUM(C25:C28)</f>
        <v>0</v>
      </c>
      <c r="D29" s="107">
        <f>SUM(D25:D28)</f>
        <v>1</v>
      </c>
      <c r="E29" s="108" t="str">
        <f>IFERROR((D29-C29)/C29, "n/a")</f>
        <v>n/a</v>
      </c>
      <c r="F29" s="100"/>
      <c r="K29" s="100"/>
      <c r="W29" s="633" t="s">
        <v>825</v>
      </c>
      <c r="X29" s="632">
        <f t="shared" si="10"/>
        <v>0</v>
      </c>
      <c r="Y29" s="632">
        <f t="shared" si="10"/>
        <v>1</v>
      </c>
      <c r="Z29" s="101" t="str">
        <f t="shared" si="9"/>
        <v>n/a</v>
      </c>
    </row>
    <row r="30" spans="2:31" ht="14.7" thickBot="1">
      <c r="F30" s="100"/>
      <c r="G30" s="5" t="s">
        <v>737</v>
      </c>
      <c r="H30" s="5" t="s">
        <v>716</v>
      </c>
      <c r="K30" s="100"/>
      <c r="W30" s="633" t="s">
        <v>826</v>
      </c>
      <c r="X30" s="632">
        <f t="shared" si="10"/>
        <v>0</v>
      </c>
      <c r="Y30" s="632">
        <f t="shared" si="10"/>
        <v>1</v>
      </c>
      <c r="Z30" s="101" t="str">
        <f t="shared" si="9"/>
        <v>n/a</v>
      </c>
    </row>
    <row r="31" spans="2:31" ht="14.7" thickBot="1">
      <c r="B31" s="5" t="s">
        <v>720</v>
      </c>
      <c r="C31" s="5" t="s">
        <v>821</v>
      </c>
      <c r="F31" s="100"/>
      <c r="G31" s="629" t="s">
        <v>721</v>
      </c>
      <c r="H31" s="109">
        <f>COUNTIF(Before!$H$4:$H$1003, $G$30&amp; " " &amp;$G31&amp;"*")</f>
        <v>0</v>
      </c>
      <c r="I31" s="109">
        <f>COUNTIF(After!$H$4:$H$1003, $G$30&amp; " " &amp;$G31&amp;"*")</f>
        <v>0</v>
      </c>
      <c r="J31" s="110" t="str">
        <f t="shared" ref="J31:J36" si="11">IFERROR((I31-H31)/H31, "n/a")</f>
        <v>n/a</v>
      </c>
      <c r="K31" s="100"/>
      <c r="W31" s="636" t="s">
        <v>827</v>
      </c>
      <c r="X31" s="635">
        <f t="shared" si="10"/>
        <v>0</v>
      </c>
      <c r="Y31" s="635">
        <f t="shared" si="10"/>
        <v>0</v>
      </c>
      <c r="Z31" s="102" t="str">
        <f t="shared" si="9"/>
        <v>n/a</v>
      </c>
    </row>
    <row r="32" spans="2:31" ht="14.7" thickBot="1">
      <c r="B32" s="629" t="s">
        <v>721</v>
      </c>
      <c r="C32" s="109">
        <f>COUNTIF(Before!$H$4:$H$1003,$B$31&amp;"*"&amp;$B32&amp;" RT*")</f>
        <v>1</v>
      </c>
      <c r="D32" s="109">
        <f>COUNTIF(After!$H$4:$H$1003,$B$31&amp;"*"&amp;$B32&amp;" RT*")</f>
        <v>0</v>
      </c>
      <c r="E32" s="110">
        <f>IFERROR((D32-C32)/C32, "n/a")</f>
        <v>-1</v>
      </c>
      <c r="G32" s="631" t="s">
        <v>722</v>
      </c>
      <c r="H32" s="632">
        <f>COUNTIF(Before!$H$4:$H$1003, $G$30&amp; " " &amp;$G32&amp;"*")</f>
        <v>0</v>
      </c>
      <c r="I32" s="632">
        <f>COUNTIF(After!$H$4:$H$1003, $G$30&amp; " " &amp;$G32&amp;"*")</f>
        <v>0</v>
      </c>
      <c r="J32" s="101" t="str">
        <f t="shared" si="11"/>
        <v>n/a</v>
      </c>
      <c r="W32" s="106" t="s">
        <v>799</v>
      </c>
      <c r="X32" s="107">
        <f>SUM(X27:X31)</f>
        <v>4</v>
      </c>
      <c r="Y32" s="107">
        <f>SUM(Y27:Y31)</f>
        <v>5</v>
      </c>
      <c r="Z32" s="108">
        <f t="shared" si="9"/>
        <v>0.25</v>
      </c>
    </row>
    <row r="33" spans="2:10">
      <c r="B33" s="631" t="s">
        <v>722</v>
      </c>
      <c r="C33" s="632">
        <f>COUNTIF(Before!$H$4:$H$1003,$B$31&amp;"*"&amp;$B33&amp;" RT*")</f>
        <v>0</v>
      </c>
      <c r="D33" s="632">
        <f>COUNTIF(After!$H$4:$H$1003,$B$31&amp;"*"&amp;$B33&amp;" RT*")</f>
        <v>0</v>
      </c>
      <c r="E33" s="101" t="str">
        <f>IFERROR((D33-C33)/C33, "n/a")</f>
        <v>n/a</v>
      </c>
      <c r="G33" s="631" t="s">
        <v>723</v>
      </c>
      <c r="H33" s="632">
        <f>COUNTIF(Before!$H$4:$H$1003, $G$30&amp; " " &amp;$G33&amp;"*")</f>
        <v>0</v>
      </c>
      <c r="I33" s="632">
        <f>COUNTIF(After!$H$4:$H$1003, $G$30&amp; " " &amp;$G33&amp;"*")</f>
        <v>0</v>
      </c>
      <c r="J33" s="101" t="str">
        <f t="shared" si="11"/>
        <v>n/a</v>
      </c>
    </row>
    <row r="34" spans="2:10">
      <c r="B34" s="631" t="s">
        <v>723</v>
      </c>
      <c r="C34" s="632">
        <f>COUNTIF(Before!$H$4:$H$1003,$B$31&amp;"*"&amp;$B34&amp;" RT*")</f>
        <v>0</v>
      </c>
      <c r="D34" s="632">
        <f>COUNTIF(After!$H$4:$H$1003,$B$31&amp;"*"&amp;$B34&amp;" RT*")</f>
        <v>0</v>
      </c>
      <c r="E34" s="101" t="str">
        <f>IFERROR((D34-C34)/C34, "n/a")</f>
        <v>n/a</v>
      </c>
      <c r="F34" s="100"/>
      <c r="G34" s="631" t="s">
        <v>724</v>
      </c>
      <c r="H34" s="632">
        <f>COUNTIF(Before!$H$4:$H$1003, $G$30&amp; " " &amp;$G34&amp;"*")</f>
        <v>0</v>
      </c>
      <c r="I34" s="632">
        <f>COUNTIF(After!$H$4:$H$1003, $G$30&amp; " " &amp;$G34&amp;"*")</f>
        <v>0</v>
      </c>
      <c r="J34" s="101" t="str">
        <f t="shared" si="11"/>
        <v>n/a</v>
      </c>
    </row>
    <row r="35" spans="2:10" ht="14.7" thickBot="1">
      <c r="B35" s="634" t="s">
        <v>724</v>
      </c>
      <c r="C35" s="635">
        <f>COUNTIF(Before!$H$4:$H$1003,$B$31&amp;"*"&amp;$B35&amp;" RT*")</f>
        <v>0</v>
      </c>
      <c r="D35" s="635">
        <f>COUNTIF(After!$H$4:$H$1003,$B$31&amp;"*"&amp;$B35&amp;" RT*")</f>
        <v>0</v>
      </c>
      <c r="E35" s="102" t="str">
        <f>IFERROR((D35-C35)/C35, "n/a")</f>
        <v>n/a</v>
      </c>
      <c r="F35" s="100"/>
      <c r="G35" s="634" t="s">
        <v>310</v>
      </c>
      <c r="H35" s="635">
        <f>COUNTIF(Before!$H$4:$H$1003, $G$30&amp; " " &amp;$G35&amp;"*")</f>
        <v>0</v>
      </c>
      <c r="I35" s="635">
        <f>COUNTIF(After!$H$4:$H$1003, $G$30&amp; " " &amp;$G35&amp;"*")</f>
        <v>0</v>
      </c>
      <c r="J35" s="102" t="str">
        <f t="shared" si="11"/>
        <v>n/a</v>
      </c>
    </row>
    <row r="36" spans="2:10" ht="14.7" thickBot="1">
      <c r="B36" s="106" t="s">
        <v>799</v>
      </c>
      <c r="C36" s="107">
        <f>SUM(C32:C35)</f>
        <v>1</v>
      </c>
      <c r="D36" s="107">
        <f>SUM(D32:D35)</f>
        <v>0</v>
      </c>
      <c r="E36" s="108">
        <f>IFERROR((D36-C36)/C36, "n/a")</f>
        <v>-1</v>
      </c>
      <c r="F36" s="100"/>
      <c r="G36" s="106" t="s">
        <v>799</v>
      </c>
      <c r="H36" s="107">
        <f>SUM(H31:H35)</f>
        <v>0</v>
      </c>
      <c r="I36" s="107">
        <f>SUM(I31:I35)</f>
        <v>0</v>
      </c>
      <c r="J36" s="108" t="str">
        <f t="shared" si="11"/>
        <v>n/a</v>
      </c>
    </row>
    <row r="37" spans="2:10" ht="14.7" thickBot="1">
      <c r="F37" s="100"/>
    </row>
    <row r="38" spans="2:10" ht="14.7" thickBot="1">
      <c r="B38" s="5" t="s">
        <v>726</v>
      </c>
      <c r="C38" s="5" t="s">
        <v>716</v>
      </c>
      <c r="G38" s="649" t="s">
        <v>714</v>
      </c>
      <c r="H38" s="650">
        <f>COUNTIF(Before!$H$4:$H$1003,G38&amp;"*")</f>
        <v>0</v>
      </c>
      <c r="I38" s="650">
        <f>COUNTIF(After!$H$4:$H$1003,G38&amp;"*")</f>
        <v>0</v>
      </c>
      <c r="J38" s="651" t="str">
        <f>IFERROR((I38-H38)/H38, "n/a")</f>
        <v>n/a</v>
      </c>
    </row>
    <row r="39" spans="2:10">
      <c r="B39" s="629" t="s">
        <v>721</v>
      </c>
      <c r="C39" s="109">
        <f>COUNTIF(Before!$H$4:$H$1003, $B$38&amp; " " &amp;$B39&amp;"*")</f>
        <v>0</v>
      </c>
      <c r="D39" s="109">
        <f>COUNTIF(After!$H$4:$H$1003, $B$38&amp; " " &amp;$B39&amp;"*")</f>
        <v>1</v>
      </c>
      <c r="E39" s="110" t="str">
        <f>IFERROR((D39-C39)/C39, "n/a")</f>
        <v>n/a</v>
      </c>
    </row>
    <row r="40" spans="2:10">
      <c r="B40" s="631" t="s">
        <v>722</v>
      </c>
      <c r="C40" s="632">
        <f>COUNTIF(Before!$H$4:$H$1003, $B$38&amp; " " &amp;$B40&amp;"*")</f>
        <v>0</v>
      </c>
      <c r="D40" s="632">
        <f>COUNTIF(After!$H$4:$H$1003, $B$38&amp; " " &amp;$B40&amp;"*")</f>
        <v>0</v>
      </c>
      <c r="E40" s="101" t="str">
        <f>IFERROR((D40-C40)/C40, "n/a")</f>
        <v>n/a</v>
      </c>
      <c r="F40" s="100"/>
    </row>
    <row r="41" spans="2:10">
      <c r="B41" s="631" t="s">
        <v>723</v>
      </c>
      <c r="C41" s="632">
        <f>COUNTIF(Before!$H$4:$H$1003, $B$38&amp; " " &amp;$B41&amp;"*")</f>
        <v>0</v>
      </c>
      <c r="D41" s="632">
        <f>COUNTIF(After!$H$4:$H$1003, $B$38&amp; " " &amp;$B41&amp;"*")</f>
        <v>0</v>
      </c>
      <c r="E41" s="101" t="str">
        <f>IFERROR((D41-C41)/C41, "n/a")</f>
        <v>n/a</v>
      </c>
      <c r="F41" s="100"/>
    </row>
    <row r="42" spans="2:10" ht="14.7" thickBot="1">
      <c r="B42" s="634" t="s">
        <v>724</v>
      </c>
      <c r="C42" s="635">
        <f>COUNTIF(Before!$H$4:$H$1003, $B$38&amp; " " &amp;$B42&amp;"*")</f>
        <v>0</v>
      </c>
      <c r="D42" s="635">
        <f>COUNTIF(After!$H$4:$H$1003, $B$38&amp; " " &amp;$B42&amp;"*")</f>
        <v>0</v>
      </c>
      <c r="E42" s="102" t="str">
        <f>IFERROR((D42-C42)/C42, "n/a")</f>
        <v>n/a</v>
      </c>
      <c r="F42" s="100"/>
    </row>
    <row r="43" spans="2:10" ht="14.7" thickBot="1">
      <c r="B43" s="106" t="s">
        <v>799</v>
      </c>
      <c r="C43" s="107">
        <f>SUM(C39:C42)</f>
        <v>0</v>
      </c>
      <c r="D43" s="107">
        <f>SUM(D39:D42)</f>
        <v>1</v>
      </c>
      <c r="E43" s="108" t="str">
        <f>IFERROR((D43-C43)/C43, "n/a")</f>
        <v>n/a</v>
      </c>
      <c r="F43" s="100"/>
    </row>
    <row r="45" spans="2:10" ht="14.7" thickBot="1">
      <c r="B45" s="5" t="s">
        <v>725</v>
      </c>
      <c r="C45" s="5" t="s">
        <v>828</v>
      </c>
    </row>
    <row r="46" spans="2:10">
      <c r="B46" s="629" t="s">
        <v>721</v>
      </c>
      <c r="C46" s="109">
        <f>COUNTIF(Before!$H$4:$H$1003,"U*Turn"&amp;"*"&amp;$B46&amp;" U*")</f>
        <v>0</v>
      </c>
      <c r="D46" s="109">
        <f>COUNTIF(After!$H$4:$H$1003,"U*Turn"&amp;"*"&amp;$B46&amp;" U*")</f>
        <v>0</v>
      </c>
      <c r="E46" s="110" t="str">
        <f>IFERROR((D46-C46)/C46, "n/a")</f>
        <v>n/a</v>
      </c>
    </row>
    <row r="47" spans="2:10">
      <c r="B47" s="631" t="s">
        <v>722</v>
      </c>
      <c r="C47" s="632">
        <f>COUNTIF(Before!$H$4:$H$1003,"U*Turn"&amp;"*"&amp;$B47&amp;" U*")</f>
        <v>0</v>
      </c>
      <c r="D47" s="632">
        <f>COUNTIF(After!$H$4:$H$1003,"U*Turn"&amp;"*"&amp;$B47&amp;" U*")</f>
        <v>0</v>
      </c>
      <c r="E47" s="101" t="str">
        <f>IFERROR((D47-C47)/C47, "n/a")</f>
        <v>n/a</v>
      </c>
    </row>
    <row r="48" spans="2:10">
      <c r="B48" s="631" t="s">
        <v>723</v>
      </c>
      <c r="C48" s="632">
        <f>COUNTIF(Before!$H$4:$H$1003,"U*Turn"&amp;"*"&amp;$B48&amp;" U*")</f>
        <v>0</v>
      </c>
      <c r="D48" s="632">
        <f>COUNTIF(After!$H$4:$H$1003,"U*Turn"&amp;"*"&amp;$B48&amp;" U*")</f>
        <v>0</v>
      </c>
      <c r="E48" s="101" t="str">
        <f>IFERROR((D48-C48)/C48, "n/a")</f>
        <v>n/a</v>
      </c>
    </row>
    <row r="49" spans="2:5" ht="14.7" thickBot="1">
      <c r="B49" s="634" t="s">
        <v>724</v>
      </c>
      <c r="C49" s="635">
        <f>COUNTIF(Before!$H$4:$H$1003,"U*Turn"&amp;"*"&amp;$B49&amp;" U*")</f>
        <v>0</v>
      </c>
      <c r="D49" s="635">
        <f>COUNTIF(After!$H$4:$H$1003,"U*Turn"&amp;"*"&amp;$B49&amp;" U*")</f>
        <v>0</v>
      </c>
      <c r="E49" s="102" t="str">
        <f>IFERROR((D49-C49)/C49, "n/a")</f>
        <v>n/a</v>
      </c>
    </row>
    <row r="50" spans="2:5" ht="14.7" thickBot="1">
      <c r="B50" s="649" t="s">
        <v>799</v>
      </c>
      <c r="C50" s="650">
        <f>SUM(C46:C49)</f>
        <v>0</v>
      </c>
      <c r="D50" s="650">
        <f>SUM(D46:D49)</f>
        <v>0</v>
      </c>
      <c r="E50" s="651" t="str">
        <f>IFERROR((D50-C50)/C50, "n/a")</f>
        <v>n/a</v>
      </c>
    </row>
  </sheetData>
  <sheetProtection formatCells="0" formatColumns="0" formatRows="0"/>
  <sortState xmlns:xlrd2="http://schemas.microsoft.com/office/spreadsheetml/2017/richdata2" ref="AG2:AG33">
    <sortCondition ref="AG2:AG33"/>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5582B9-035F-42DA-A15A-B3927F68F679}">
  <sheetPr codeName="Sheet14"/>
  <dimension ref="B1:BJ62"/>
  <sheetViews>
    <sheetView tabSelected="1" zoomScale="85" zoomScaleNormal="85" workbookViewId="0"/>
  </sheetViews>
  <sheetFormatPr defaultColWidth="9.15625" defaultRowHeight="14.4"/>
  <cols>
    <col min="1" max="1" width="9.15625" style="98"/>
    <col min="2" max="2" width="5.47265625" style="98" customWidth="1"/>
    <col min="3" max="3" width="79" style="98" customWidth="1"/>
    <col min="4" max="4" width="3.26171875" style="98" customWidth="1"/>
    <col min="5" max="5" width="9.15625" style="98"/>
    <col min="6" max="6" width="24.5234375" style="98" customWidth="1"/>
    <col min="7" max="7" width="3.47265625" style="98" customWidth="1"/>
    <col min="8" max="8" width="24" style="98" customWidth="1"/>
    <col min="9" max="9" width="112.734375" style="98" customWidth="1"/>
    <col min="10" max="10" width="5" style="98" customWidth="1"/>
    <col min="11" max="11" width="37.26171875" style="98" bestFit="1" customWidth="1"/>
    <col min="12" max="12" width="14.26171875" style="98" bestFit="1" customWidth="1"/>
    <col min="13" max="13" width="12" style="98" bestFit="1" customWidth="1"/>
    <col min="14" max="14" width="21.26171875" style="98" customWidth="1"/>
    <col min="15" max="15" width="9.15625" style="98"/>
    <col min="16" max="17" width="0" style="98" hidden="1" customWidth="1"/>
    <col min="18" max="18" width="3.15625" style="277" customWidth="1"/>
    <col min="19" max="19" width="8.734375"/>
    <col min="20" max="24" width="9.15625" customWidth="1"/>
    <col min="25" max="25" width="11.47265625" customWidth="1"/>
    <col min="26" max="29" width="9.15625" customWidth="1"/>
    <col min="30" max="30" width="11.47265625" customWidth="1"/>
    <col min="31" max="31" width="9.15625" customWidth="1"/>
    <col min="32" max="32" width="29.26171875" bestFit="1" customWidth="1"/>
    <col min="33" max="34" width="11.26171875" customWidth="1"/>
    <col min="35" max="35" width="22.5234375" customWidth="1"/>
    <col min="36" max="36" width="8.734375"/>
    <col min="37" max="37" width="32.734375" bestFit="1" customWidth="1"/>
    <col min="38" max="39" width="8.734375"/>
    <col min="40" max="40" width="21" customWidth="1"/>
    <col min="41" max="41" width="8.734375"/>
    <col min="42" max="42" width="29.26171875" bestFit="1" customWidth="1"/>
    <col min="43" max="44" width="12.734375" customWidth="1"/>
    <col min="45" max="45" width="21.5234375" customWidth="1"/>
    <col min="46" max="46" width="8.734375"/>
    <col min="47" max="47" width="31.26171875" bestFit="1" customWidth="1"/>
    <col min="48" max="49" width="11.47265625" customWidth="1"/>
    <col min="50" max="50" width="23.47265625" customWidth="1"/>
    <col min="51" max="51" width="8.734375"/>
    <col min="52" max="52" width="34.734375" bestFit="1" customWidth="1"/>
    <col min="53" max="54" width="12" customWidth="1"/>
    <col min="55" max="55" width="21.5234375" customWidth="1"/>
    <col min="56" max="56" width="8.734375"/>
    <col min="57" max="57" width="34.734375" bestFit="1" customWidth="1"/>
    <col min="58" max="59" width="12" bestFit="1" customWidth="1"/>
    <col min="60" max="60" width="23.47265625" customWidth="1"/>
    <col min="61" max="62" width="8.734375" customWidth="1"/>
    <col min="63" max="16384" width="9.15625" style="98"/>
  </cols>
  <sheetData>
    <row r="1" spans="2:60" ht="23.4" thickBot="1">
      <c r="S1" s="385" t="s">
        <v>366</v>
      </c>
      <c r="T1" s="385"/>
      <c r="U1" s="386"/>
      <c r="V1" s="386"/>
      <c r="W1" s="386"/>
      <c r="X1" s="386"/>
      <c r="Y1" s="386"/>
      <c r="Z1" s="386"/>
      <c r="AA1" s="386"/>
      <c r="AB1" s="386"/>
      <c r="AC1" s="386"/>
      <c r="AD1" s="386"/>
      <c r="AE1" s="386"/>
      <c r="AF1" s="386"/>
      <c r="AG1" s="386"/>
      <c r="AH1" s="386"/>
      <c r="AI1" s="386"/>
      <c r="AJ1" s="386"/>
      <c r="AK1" s="387"/>
    </row>
    <row r="2" spans="2:60" ht="15.6" thickBot="1">
      <c r="B2" s="830" t="s">
        <v>360</v>
      </c>
      <c r="C2" s="831"/>
      <c r="K2" s="98" t="s">
        <v>348</v>
      </c>
      <c r="T2" s="5"/>
      <c r="U2" s="811" t="s">
        <v>16</v>
      </c>
      <c r="V2" s="812"/>
      <c r="W2" s="812"/>
      <c r="X2" s="812"/>
      <c r="Y2" s="813"/>
      <c r="Z2" s="814" t="s">
        <v>17</v>
      </c>
      <c r="AA2" s="814"/>
      <c r="AB2" s="814"/>
      <c r="AC2" s="814"/>
      <c r="AD2" s="814"/>
      <c r="AF2" t="s">
        <v>338</v>
      </c>
      <c r="AU2" t="s">
        <v>339</v>
      </c>
    </row>
    <row r="3" spans="2:60" ht="14.4" customHeight="1" thickBot="1">
      <c r="B3" s="343" t="s">
        <v>45</v>
      </c>
      <c r="C3" s="344" t="s">
        <v>148</v>
      </c>
      <c r="E3" s="228" t="s">
        <v>359</v>
      </c>
      <c r="H3" s="345" t="s">
        <v>135</v>
      </c>
      <c r="I3" s="571">
        <f>Assumptions!D6</f>
        <v>41000076575</v>
      </c>
      <c r="K3" s="816" t="s">
        <v>28</v>
      </c>
      <c r="L3" s="818" t="s">
        <v>16</v>
      </c>
      <c r="M3" s="818" t="s">
        <v>17</v>
      </c>
      <c r="N3" s="820" t="s">
        <v>29</v>
      </c>
      <c r="T3" s="105" t="s">
        <v>20</v>
      </c>
      <c r="U3" s="105" t="s">
        <v>13</v>
      </c>
      <c r="V3" s="388" t="s">
        <v>47</v>
      </c>
      <c r="W3" s="389" t="s">
        <v>48</v>
      </c>
      <c r="X3" s="390" t="s">
        <v>334</v>
      </c>
      <c r="Y3" s="391" t="s">
        <v>64</v>
      </c>
      <c r="Z3" s="105" t="s">
        <v>13</v>
      </c>
      <c r="AA3" s="388" t="s">
        <v>47</v>
      </c>
      <c r="AB3" s="389" t="s">
        <v>48</v>
      </c>
      <c r="AC3" s="390" t="s">
        <v>334</v>
      </c>
      <c r="AD3" s="391" t="s">
        <v>64</v>
      </c>
      <c r="AF3" t="s">
        <v>335</v>
      </c>
      <c r="AK3" t="s">
        <v>336</v>
      </c>
      <c r="AP3" t="s">
        <v>337</v>
      </c>
      <c r="AU3" t="s">
        <v>335</v>
      </c>
      <c r="AZ3" t="s">
        <v>336</v>
      </c>
      <c r="BE3" t="s">
        <v>337</v>
      </c>
    </row>
    <row r="4" spans="2:60" ht="15.75" customHeight="1" thickBot="1">
      <c r="B4" s="832" t="s">
        <v>45</v>
      </c>
      <c r="C4" s="825" t="s">
        <v>707</v>
      </c>
      <c r="H4" s="347" t="s">
        <v>136</v>
      </c>
      <c r="I4" s="575" t="str">
        <f>Assumptions!D7</f>
        <v>05-08-203 (TIP #W-5601HP)</v>
      </c>
      <c r="J4" s="269" t="s">
        <v>784</v>
      </c>
      <c r="K4" s="817"/>
      <c r="L4" s="819"/>
      <c r="M4" s="819"/>
      <c r="N4" s="821"/>
      <c r="T4" s="105" t="s">
        <v>9</v>
      </c>
      <c r="U4" s="34">
        <f>Before!AB4</f>
        <v>0</v>
      </c>
      <c r="V4" s="34">
        <f>Before!AC4</f>
        <v>0</v>
      </c>
      <c r="W4" s="34">
        <f>Before!AD4</f>
        <v>0</v>
      </c>
      <c r="X4" s="34">
        <f>Before!AE4</f>
        <v>0</v>
      </c>
      <c r="Y4" s="34">
        <f>Before!AF4</f>
        <v>0</v>
      </c>
      <c r="Z4" s="34">
        <f>After!AB4</f>
        <v>0</v>
      </c>
      <c r="AA4" s="34">
        <f>After!AC4</f>
        <v>0</v>
      </c>
      <c r="AB4" s="34">
        <f>After!AD4</f>
        <v>0</v>
      </c>
      <c r="AC4" s="34">
        <f>After!AE4</f>
        <v>0</v>
      </c>
      <c r="AD4" s="34">
        <f>After!AF4</f>
        <v>0</v>
      </c>
      <c r="AF4" s="805" t="s">
        <v>15</v>
      </c>
      <c r="AG4" s="807" t="s">
        <v>16</v>
      </c>
      <c r="AH4" s="807" t="s">
        <v>17</v>
      </c>
      <c r="AI4" s="809" t="s">
        <v>18</v>
      </c>
      <c r="AK4" s="805" t="s">
        <v>15</v>
      </c>
      <c r="AL4" s="807" t="s">
        <v>16</v>
      </c>
      <c r="AM4" s="807" t="s">
        <v>17</v>
      </c>
      <c r="AN4" s="809" t="s">
        <v>18</v>
      </c>
      <c r="AP4" s="805" t="s">
        <v>15</v>
      </c>
      <c r="AQ4" s="807" t="s">
        <v>16</v>
      </c>
      <c r="AR4" s="807" t="s">
        <v>17</v>
      </c>
      <c r="AS4" s="809" t="s">
        <v>18</v>
      </c>
      <c r="AU4" s="805" t="s">
        <v>15</v>
      </c>
      <c r="AV4" s="392" t="s">
        <v>16</v>
      </c>
      <c r="AW4" s="392" t="s">
        <v>17</v>
      </c>
      <c r="AX4" s="809" t="s">
        <v>18</v>
      </c>
      <c r="AZ4" s="805" t="s">
        <v>15</v>
      </c>
      <c r="BA4" s="392" t="s">
        <v>16</v>
      </c>
      <c r="BB4" s="392" t="s">
        <v>17</v>
      </c>
      <c r="BC4" s="809" t="s">
        <v>18</v>
      </c>
      <c r="BE4" s="805" t="s">
        <v>15</v>
      </c>
      <c r="BF4" s="392" t="s">
        <v>16</v>
      </c>
      <c r="BG4" s="392" t="s">
        <v>17</v>
      </c>
      <c r="BH4" s="809" t="s">
        <v>18</v>
      </c>
    </row>
    <row r="5" spans="2:60" ht="14.7" thickBot="1">
      <c r="B5" s="832"/>
      <c r="C5" s="825"/>
      <c r="E5" s="348" t="b">
        <v>1</v>
      </c>
      <c r="F5" s="349" t="s">
        <v>335</v>
      </c>
      <c r="H5" s="347" t="s">
        <v>155</v>
      </c>
      <c r="I5" s="575" t="str">
        <f>Assumptions!D8</f>
        <v>05-1723</v>
      </c>
      <c r="J5" s="569" t="s">
        <v>1341</v>
      </c>
      <c r="K5" s="569" t="s">
        <v>1341</v>
      </c>
      <c r="L5" s="570">
        <v>10</v>
      </c>
      <c r="M5" s="570">
        <v>22</v>
      </c>
      <c r="N5" s="110" t="str">
        <f t="shared" ref="N5:N10" si="0">IFERROR(IF(((M5-L5)/L5)&gt;1,"100+%",((M5-L5)/L5)), "n/a")</f>
        <v>100+%</v>
      </c>
      <c r="T5" s="105" t="s">
        <v>10</v>
      </c>
      <c r="U5" s="34">
        <f>Before!AB5</f>
        <v>0</v>
      </c>
      <c r="V5" s="34">
        <f>Before!AC5</f>
        <v>0</v>
      </c>
      <c r="W5" s="34">
        <f>Before!AD5</f>
        <v>0</v>
      </c>
      <c r="X5" s="34">
        <f>Before!AE5</f>
        <v>0</v>
      </c>
      <c r="Y5" s="34">
        <f>Before!AF5</f>
        <v>0</v>
      </c>
      <c r="Z5" s="34">
        <f>After!AB5</f>
        <v>0</v>
      </c>
      <c r="AA5" s="34">
        <f>After!AC5</f>
        <v>0</v>
      </c>
      <c r="AB5" s="34">
        <f>After!AD5</f>
        <v>0</v>
      </c>
      <c r="AC5" s="34">
        <f>After!AE5</f>
        <v>0</v>
      </c>
      <c r="AD5" s="34">
        <f>After!AF5</f>
        <v>0</v>
      </c>
      <c r="AF5" s="806"/>
      <c r="AG5" s="808"/>
      <c r="AH5" s="808"/>
      <c r="AI5" s="810"/>
      <c r="AK5" s="806"/>
      <c r="AL5" s="808"/>
      <c r="AM5" s="808"/>
      <c r="AN5" s="810"/>
      <c r="AP5" s="806"/>
      <c r="AQ5" s="808"/>
      <c r="AR5" s="808"/>
      <c r="AS5" s="810"/>
      <c r="AU5" s="806"/>
      <c r="AV5" s="393" t="str">
        <f>"("&amp;TEXT(ROUND('Evaluation Set-up'!$F$9+'Evaluation Set-up'!$G$9/12, 2), "0.00")&amp;" years"&amp;")"</f>
        <v>(4.08 years)</v>
      </c>
      <c r="AW5" s="393" t="str">
        <f>"("&amp;TEXT(ROUND('Evaluation Set-up'!$F$11+'Evaluation Set-up'!$G$11/12, 2), "0.00")&amp;" years"&amp;")"</f>
        <v>(4.08 years)</v>
      </c>
      <c r="AX5" s="810"/>
      <c r="AZ5" s="806"/>
      <c r="BA5" s="393" t="str">
        <f>"("&amp;TEXT(ROUND('Evaluation Set-up'!$F$9+'Evaluation Set-up'!$G$9/12, 2), "0.00")&amp;" years"&amp;")"</f>
        <v>(4.08 years)</v>
      </c>
      <c r="BB5" s="393" t="str">
        <f>"("&amp;TEXT(ROUND('Evaluation Set-up'!$F$11+'Evaluation Set-up'!$G$11/12, 2), "0.00")&amp;" years"&amp;")"</f>
        <v>(4.08 years)</v>
      </c>
      <c r="BC5" s="810"/>
      <c r="BE5" s="806"/>
      <c r="BF5" s="393" t="str">
        <f>"("&amp;TEXT(ROUND('Evaluation Set-up'!$F$9+'Evaluation Set-up'!$G$9/12, 2), "0.00")&amp;" years"&amp;")"</f>
        <v>(4.08 years)</v>
      </c>
      <c r="BG5" s="393" t="str">
        <f>"("&amp;TEXT(ROUND('Evaluation Set-up'!$F$11+'Evaluation Set-up'!$G$11/12, 2), "0.00")&amp;" years"&amp;")"</f>
        <v>(4.08 years)</v>
      </c>
      <c r="BH5" s="810"/>
    </row>
    <row r="6" spans="2:60" ht="15.6" thickBot="1">
      <c r="B6" s="832"/>
      <c r="C6" s="825"/>
      <c r="E6" s="351" t="b">
        <v>0</v>
      </c>
      <c r="F6" s="230" t="s">
        <v>336</v>
      </c>
      <c r="H6" s="347" t="s">
        <v>140</v>
      </c>
      <c r="I6" s="575" t="str">
        <f>Assumptions!D9</f>
        <v>SR 1375 (Lake Wheeler Road) at SR 1390 (Optimist Farm Road)/SR 1503 (Donnybrook Road)</v>
      </c>
      <c r="J6" s="569" t="s">
        <v>1342</v>
      </c>
      <c r="K6" s="350" t="s">
        <v>1342</v>
      </c>
      <c r="L6" s="352">
        <v>5</v>
      </c>
      <c r="M6" s="352">
        <v>11</v>
      </c>
      <c r="N6" s="101" t="str">
        <f t="shared" si="0"/>
        <v>100+%</v>
      </c>
      <c r="T6" s="105" t="s">
        <v>8</v>
      </c>
      <c r="U6" s="34">
        <f>Before!AB6</f>
        <v>0</v>
      </c>
      <c r="V6" s="34">
        <f>Before!AC6</f>
        <v>0</v>
      </c>
      <c r="W6" s="34">
        <f>Before!AD6</f>
        <v>0</v>
      </c>
      <c r="X6" s="34">
        <f>Before!AE6</f>
        <v>0</v>
      </c>
      <c r="Y6" s="34">
        <f>Before!AF6</f>
        <v>0</v>
      </c>
      <c r="Z6" s="34">
        <f>After!AB6</f>
        <v>2</v>
      </c>
      <c r="AA6" s="34">
        <f>After!AC6</f>
        <v>0</v>
      </c>
      <c r="AB6" s="34">
        <f>After!AD6</f>
        <v>0</v>
      </c>
      <c r="AC6" s="34">
        <f>After!AE6</f>
        <v>0</v>
      </c>
      <c r="AD6" s="34">
        <f>After!AF6</f>
        <v>0</v>
      </c>
      <c r="AF6" s="394" t="s">
        <v>19</v>
      </c>
      <c r="AG6" s="395">
        <f>$U$9</f>
        <v>20</v>
      </c>
      <c r="AH6" s="396">
        <f>$Z$9</f>
        <v>35</v>
      </c>
      <c r="AI6" s="397">
        <f t="shared" ref="AI6:AI7" si="1">IFERROR(IF(((AH6-AG6)/AG6)&gt;1,"100+%",((AH6-AG6)/AG6)), "n/a")</f>
        <v>0.75</v>
      </c>
      <c r="AK6" s="394" t="s">
        <v>19</v>
      </c>
      <c r="AL6" s="395">
        <f>$U$9</f>
        <v>20</v>
      </c>
      <c r="AM6" s="396">
        <f>$Z$9</f>
        <v>35</v>
      </c>
      <c r="AN6" s="397">
        <f t="shared" ref="AN6:AN7" si="2">IFERROR(IF(((AM6-AL6)/AL6)&gt;1,"100+%",((AM6-AL6)/AL6)), "n/a")</f>
        <v>0.75</v>
      </c>
      <c r="AP6" s="394" t="s">
        <v>19</v>
      </c>
      <c r="AQ6" s="395">
        <f>$U$9</f>
        <v>20</v>
      </c>
      <c r="AR6" s="396">
        <f>$Z$9</f>
        <v>35</v>
      </c>
      <c r="AS6" s="397">
        <f t="shared" ref="AS6:AS7" si="3">IFERROR(IF(((AR6-AQ6)/AQ6)&gt;1,"100+%",((AR6-AQ6)/AQ6)), "n/a")</f>
        <v>0.75</v>
      </c>
      <c r="AU6" s="394" t="s">
        <v>19</v>
      </c>
      <c r="AV6" s="395">
        <f>$U$9</f>
        <v>20</v>
      </c>
      <c r="AW6" s="396">
        <f>$Z$9</f>
        <v>35</v>
      </c>
      <c r="AX6" s="398" t="s">
        <v>343</v>
      </c>
      <c r="AZ6" s="394" t="s">
        <v>19</v>
      </c>
      <c r="BA6" s="395">
        <f>$U$9</f>
        <v>20</v>
      </c>
      <c r="BB6" s="396">
        <f>$Z$9</f>
        <v>35</v>
      </c>
      <c r="BC6" s="398" t="s">
        <v>343</v>
      </c>
      <c r="BE6" s="394" t="s">
        <v>19</v>
      </c>
      <c r="BF6" s="395">
        <f>$U$9</f>
        <v>20</v>
      </c>
      <c r="BG6" s="396">
        <f>$Z$9</f>
        <v>35</v>
      </c>
      <c r="BH6" s="398" t="s">
        <v>343</v>
      </c>
    </row>
    <row r="7" spans="2:60" ht="14.7" thickBot="1">
      <c r="B7" s="832" t="s">
        <v>45</v>
      </c>
      <c r="C7" s="825" t="s">
        <v>361</v>
      </c>
      <c r="E7" s="354" t="b">
        <v>0</v>
      </c>
      <c r="F7" s="355" t="s">
        <v>347</v>
      </c>
      <c r="H7" s="347" t="s">
        <v>157</v>
      </c>
      <c r="I7" s="575" t="str">
        <f>Assumptions!D10</f>
        <v>35.657816, -78.717261</v>
      </c>
      <c r="J7" s="569" t="s">
        <v>1343</v>
      </c>
      <c r="K7" s="350" t="s">
        <v>1343</v>
      </c>
      <c r="L7" s="352">
        <v>0</v>
      </c>
      <c r="M7" s="352">
        <v>4</v>
      </c>
      <c r="N7" s="101" t="str">
        <f t="shared" si="0"/>
        <v>n/a</v>
      </c>
      <c r="T7" s="105" t="s">
        <v>3</v>
      </c>
      <c r="U7" s="34">
        <f>Before!AB7</f>
        <v>5</v>
      </c>
      <c r="V7" s="34">
        <f>Before!AC7</f>
        <v>2</v>
      </c>
      <c r="W7" s="34">
        <f>Before!AD7</f>
        <v>0</v>
      </c>
      <c r="X7" s="34">
        <f>Before!AE7</f>
        <v>0</v>
      </c>
      <c r="Y7" s="34">
        <f>Before!AF7</f>
        <v>2</v>
      </c>
      <c r="Z7" s="34">
        <f>After!AB7</f>
        <v>7</v>
      </c>
      <c r="AA7" s="34">
        <f>After!AC7</f>
        <v>3</v>
      </c>
      <c r="AB7" s="34">
        <f>After!AD7</f>
        <v>0</v>
      </c>
      <c r="AC7" s="34">
        <f>After!AE7</f>
        <v>0</v>
      </c>
      <c r="AD7" s="34">
        <f>After!AF7</f>
        <v>3</v>
      </c>
      <c r="AF7" s="394" t="s">
        <v>21</v>
      </c>
      <c r="AG7" s="399">
        <f>$U$10</f>
        <v>2.85</v>
      </c>
      <c r="AH7" s="399">
        <f>$Z$10</f>
        <v>2.9</v>
      </c>
      <c r="AI7" s="397">
        <f t="shared" si="1"/>
        <v>0.0175438596491227</v>
      </c>
      <c r="AK7" s="400" t="s">
        <v>21</v>
      </c>
      <c r="AL7" s="399">
        <f>$U$10</f>
        <v>2.85</v>
      </c>
      <c r="AM7" s="399">
        <f>$Z$10</f>
        <v>2.9</v>
      </c>
      <c r="AN7" s="397">
        <f t="shared" si="2"/>
        <v>0.0175438596491227</v>
      </c>
      <c r="AP7" s="394" t="s">
        <v>21</v>
      </c>
      <c r="AQ7" s="399">
        <f>$U$10</f>
        <v>2.85</v>
      </c>
      <c r="AR7" s="399">
        <f>$Z$10</f>
        <v>2.9</v>
      </c>
      <c r="AS7" s="397">
        <f t="shared" si="3"/>
        <v>0.0175438596491227</v>
      </c>
      <c r="AU7" s="394" t="s">
        <v>21</v>
      </c>
      <c r="AV7" s="399">
        <f>$U$10</f>
        <v>2.85</v>
      </c>
      <c r="AW7" s="399">
        <f>$Z$10</f>
        <v>2.9</v>
      </c>
      <c r="AX7" s="397">
        <f t="shared" ref="AX7:AX8" si="4">IFERROR(IF(((AW7-AV7)/AV7)&gt;1,"100+%",((AW7-AV7)/AV7)), "n/a")</f>
        <v>0.0175438596491227</v>
      </c>
      <c r="AZ7" s="400" t="s">
        <v>21</v>
      </c>
      <c r="BA7" s="399">
        <f>$U$10</f>
        <v>2.85</v>
      </c>
      <c r="BB7" s="399">
        <f>$Z$10</f>
        <v>2.9</v>
      </c>
      <c r="BC7" s="397">
        <f t="shared" ref="BC7:BC8" si="5">IFERROR(IF(((BB7-BA7)/BA7)&gt;1,"100+%",((BB7-BA7)/BA7)), "n/a")</f>
        <v>0.0175438596491227</v>
      </c>
      <c r="BE7" s="394" t="s">
        <v>21</v>
      </c>
      <c r="BF7" s="399">
        <f>$U$10</f>
        <v>2.85</v>
      </c>
      <c r="BG7" s="399">
        <f>$Z$10</f>
        <v>2.9</v>
      </c>
      <c r="BH7" s="397">
        <f t="shared" ref="BH7:BH8" si="6">IFERROR(IF(((BG7-BF7)/BF7)&gt;1,"100+%",((BG7-BF7)/BF7)), "n/a")</f>
        <v>0.0175438596491227</v>
      </c>
    </row>
    <row r="8" spans="2:60" ht="15" customHeight="1" thickBot="1">
      <c r="B8" s="832"/>
      <c r="C8" s="825"/>
      <c r="H8" s="347" t="s">
        <v>137</v>
      </c>
      <c r="I8" s="575" t="str">
        <f>Assumptions!D11</f>
        <v>Wake</v>
      </c>
      <c r="J8" s="569" t="s">
        <v>783</v>
      </c>
      <c r="K8" s="350" t="s">
        <v>783</v>
      </c>
      <c r="L8" s="352">
        <v>4</v>
      </c>
      <c r="M8" s="352">
        <v>10</v>
      </c>
      <c r="N8" s="101" t="str">
        <f t="shared" si="0"/>
        <v>100+%</v>
      </c>
      <c r="T8" s="105" t="s">
        <v>7</v>
      </c>
      <c r="U8" s="34">
        <f>Before!AB8</f>
        <v>15</v>
      </c>
      <c r="V8" s="34">
        <f>Before!AC8</f>
        <v>2</v>
      </c>
      <c r="W8" s="34">
        <f>Before!AD8</f>
        <v>0</v>
      </c>
      <c r="X8" s="34">
        <f>Before!AE8</f>
        <v>0</v>
      </c>
      <c r="Y8" s="34">
        <f>Before!AF8</f>
        <v>2</v>
      </c>
      <c r="Z8" s="34">
        <f>After!AB8</f>
        <v>26</v>
      </c>
      <c r="AA8" s="34">
        <f>After!AC8</f>
        <v>2</v>
      </c>
      <c r="AB8" s="34">
        <f>After!AD8</f>
        <v>0</v>
      </c>
      <c r="AC8" s="34">
        <f>After!AE8</f>
        <v>0</v>
      </c>
      <c r="AD8" s="34">
        <f>After!AF8</f>
        <v>2</v>
      </c>
      <c r="AF8" s="401"/>
      <c r="AG8" s="402"/>
      <c r="AH8" s="402"/>
      <c r="AI8" s="402"/>
      <c r="AK8" s="403"/>
      <c r="AL8" s="404"/>
      <c r="AM8" s="404"/>
      <c r="AN8" s="405"/>
      <c r="AP8" s="401"/>
      <c r="AQ8" s="402"/>
      <c r="AR8" s="402"/>
      <c r="AS8" s="402"/>
      <c r="AU8" s="406" t="s">
        <v>340</v>
      </c>
      <c r="AV8" s="407">
        <f>AV6/('Evaluation Set-up'!$F$9+'Evaluation Set-up'!$G$9/12)</f>
        <v>4.89795918367347</v>
      </c>
      <c r="AW8" s="407">
        <f>AW6/('Evaluation Set-up'!$F$11+'Evaluation Set-up'!$G$11/12)</f>
        <v>8.57142857142857</v>
      </c>
      <c r="AX8" s="408">
        <f t="shared" si="4"/>
        <v>0.75</v>
      </c>
      <c r="AZ8" s="406" t="s">
        <v>340</v>
      </c>
      <c r="BA8" s="407">
        <f>BA6/('Evaluation Set-up'!$F$9+'Evaluation Set-up'!$G$9/12)</f>
        <v>4.89795918367347</v>
      </c>
      <c r="BB8" s="407">
        <f>BB6/('Evaluation Set-up'!$F$11+'Evaluation Set-up'!$G$11/12)</f>
        <v>8.57142857142857</v>
      </c>
      <c r="BC8" s="408">
        <f t="shared" si="5"/>
        <v>0.75</v>
      </c>
      <c r="BE8" s="406" t="s">
        <v>340</v>
      </c>
      <c r="BF8" s="407">
        <f>BF6/('Evaluation Set-up'!$F$9+'Evaluation Set-up'!$G$9/12)</f>
        <v>4.89795918367347</v>
      </c>
      <c r="BG8" s="407">
        <f>BG6/('Evaluation Set-up'!$F$11+'Evaluation Set-up'!$G$11/12)</f>
        <v>8.57142857142857</v>
      </c>
      <c r="BH8" s="408">
        <f t="shared" si="6"/>
        <v>0.75</v>
      </c>
    </row>
    <row r="9" spans="2:60" ht="14.7" thickBot="1">
      <c r="B9" s="832" t="s">
        <v>45</v>
      </c>
      <c r="C9" s="825" t="s">
        <v>362</v>
      </c>
      <c r="E9" s="228" t="s">
        <v>320</v>
      </c>
      <c r="H9" s="347" t="s">
        <v>138</v>
      </c>
      <c r="I9" s="575" t="str">
        <f>Assumptions!D12</f>
        <v>Fuquay-Varina (unincorporated Wake County)</v>
      </c>
      <c r="J9" s="569" t="s">
        <v>782</v>
      </c>
      <c r="K9" s="350" t="s">
        <v>782</v>
      </c>
      <c r="L9" s="352">
        <v>1</v>
      </c>
      <c r="M9" s="352">
        <v>3</v>
      </c>
      <c r="N9" s="101" t="str">
        <f t="shared" si="0"/>
        <v>100+%</v>
      </c>
      <c r="T9" s="105" t="s">
        <v>13</v>
      </c>
      <c r="U9" s="34">
        <f>Before!AB9</f>
        <v>20</v>
      </c>
      <c r="V9" s="34">
        <f>Before!AC9</f>
        <v>4</v>
      </c>
      <c r="W9" s="34">
        <f>Before!AD9</f>
        <v>0</v>
      </c>
      <c r="X9" s="34">
        <f>Before!AE9</f>
        <v>0</v>
      </c>
      <c r="Y9" s="34">
        <f>Before!AF9</f>
        <v>4</v>
      </c>
      <c r="Z9" s="34">
        <f>After!AB9</f>
        <v>35</v>
      </c>
      <c r="AA9" s="34">
        <f>After!AC9</f>
        <v>5</v>
      </c>
      <c r="AB9" s="34">
        <f>After!AD9</f>
        <v>0</v>
      </c>
      <c r="AC9" s="34">
        <f>After!AE9</f>
        <v>0</v>
      </c>
      <c r="AD9" s="34">
        <f>After!AF9</f>
        <v>5</v>
      </c>
      <c r="AF9" s="394" t="s">
        <v>22</v>
      </c>
      <c r="AG9" s="409">
        <f>$V$9</f>
        <v>4</v>
      </c>
      <c r="AH9" s="396">
        <f>$AA$9</f>
        <v>5</v>
      </c>
      <c r="AI9" s="397">
        <f t="shared" ref="AI9:AI10" si="7">IFERROR(IF(((AH9-AG9)/AG9)&gt;1,"100+%",((AH9-AG9)/AG9)), "n/a")</f>
        <v>0.25</v>
      </c>
      <c r="AK9" s="410" t="s">
        <v>63</v>
      </c>
      <c r="AL9" s="411">
        <f>Y9</f>
        <v>4</v>
      </c>
      <c r="AM9" s="412">
        <f>AD9</f>
        <v>5</v>
      </c>
      <c r="AN9" s="397">
        <f t="shared" ref="AN9:AN10" si="8">IFERROR(IF(((AM9-AL9)/AL9)&gt;1,"100+%",((AM9-AL9)/AL9)), "n/a")</f>
        <v>0.25</v>
      </c>
      <c r="AP9" s="394" t="s">
        <v>22</v>
      </c>
      <c r="AQ9" s="409">
        <f>Y9</f>
        <v>4</v>
      </c>
      <c r="AR9" s="396">
        <f>AD9</f>
        <v>5</v>
      </c>
      <c r="AS9" s="397">
        <f t="shared" ref="AS9:AS10" si="9">IFERROR(IF(((AR9-AQ9)/AQ9)&gt;1,"100+%",((AR9-AQ9)/AQ9)), "n/a")</f>
        <v>0.25</v>
      </c>
      <c r="AU9" s="401"/>
      <c r="AV9" s="402"/>
      <c r="AW9" s="402"/>
      <c r="AX9" s="402"/>
      <c r="AZ9" s="403"/>
      <c r="BA9" s="404"/>
      <c r="BB9" s="404"/>
      <c r="BC9" s="405"/>
      <c r="BE9" s="401"/>
      <c r="BF9" s="402"/>
      <c r="BG9" s="402"/>
      <c r="BH9" s="402"/>
    </row>
    <row r="10" spans="2:60" ht="15.6" thickBot="1">
      <c r="B10" s="832"/>
      <c r="C10" s="825"/>
      <c r="E10" s="348" t="b">
        <v>1</v>
      </c>
      <c r="F10" s="349" t="s">
        <v>321</v>
      </c>
      <c r="H10" s="356" t="s">
        <v>139</v>
      </c>
      <c r="I10" s="576">
        <f>Assumptions!D13</f>
        <v>5</v>
      </c>
      <c r="J10" s="569" t="s">
        <v>1344</v>
      </c>
      <c r="K10" s="357" t="s">
        <v>1344</v>
      </c>
      <c r="L10" s="358">
        <v>5</v>
      </c>
      <c r="M10" s="358">
        <v>4</v>
      </c>
      <c r="N10" s="102">
        <f t="shared" si="0"/>
        <v>-0.2</v>
      </c>
      <c r="T10" s="105" t="s">
        <v>14</v>
      </c>
      <c r="U10" s="413">
        <f>ROUND(Before!AB10,2)</f>
        <v>2.85</v>
      </c>
      <c r="V10" s="413">
        <f>ROUND(Before!AC10,2)</f>
        <v>4.7</v>
      </c>
      <c r="W10" s="413">
        <f>ROUND(Before!AD10,2)</f>
        <v>0</v>
      </c>
      <c r="X10" s="413">
        <f>ROUND(Before!AE10,2)</f>
        <v>0</v>
      </c>
      <c r="Y10" s="413">
        <f>ROUND(Before!AF10,2)</f>
        <v>4.7</v>
      </c>
      <c r="Z10" s="413">
        <f>ROUND(After!AB10,2)</f>
        <v>2.9</v>
      </c>
      <c r="AA10" s="413">
        <f>ROUND(After!AC10,2)</f>
        <v>5.44</v>
      </c>
      <c r="AB10" s="413">
        <f>ROUND(After!AD10,2)</f>
        <v>0</v>
      </c>
      <c r="AC10" s="413">
        <f>ROUND(After!AE10,2)</f>
        <v>0</v>
      </c>
      <c r="AD10" s="413">
        <f>ROUND(After!AF10,2)</f>
        <v>5.44</v>
      </c>
      <c r="AF10" s="394" t="s">
        <v>23</v>
      </c>
      <c r="AG10" s="399">
        <f>V10</f>
        <v>4.7</v>
      </c>
      <c r="AH10" s="399">
        <f>$AA$10</f>
        <v>5.44</v>
      </c>
      <c r="AI10" s="397">
        <f t="shared" si="7"/>
        <v>0.157446808510638</v>
      </c>
      <c r="AK10" s="400" t="s">
        <v>65</v>
      </c>
      <c r="AL10" s="414">
        <f>Y10</f>
        <v>4.7</v>
      </c>
      <c r="AM10" s="415">
        <f>AD10</f>
        <v>5.44</v>
      </c>
      <c r="AN10" s="397">
        <f t="shared" si="8"/>
        <v>0.157446808510638</v>
      </c>
      <c r="AP10" s="394" t="s">
        <v>23</v>
      </c>
      <c r="AQ10" s="416">
        <f>Y10</f>
        <v>4.7</v>
      </c>
      <c r="AR10" s="399">
        <f>AD10</f>
        <v>5.44</v>
      </c>
      <c r="AS10" s="397">
        <f t="shared" si="9"/>
        <v>0.157446808510638</v>
      </c>
      <c r="AU10" s="394" t="s">
        <v>22</v>
      </c>
      <c r="AV10" s="409">
        <f>$V$9</f>
        <v>4</v>
      </c>
      <c r="AW10" s="396">
        <f>$AA$9</f>
        <v>5</v>
      </c>
      <c r="AX10" s="398" t="s">
        <v>343</v>
      </c>
      <c r="AZ10" s="410" t="s">
        <v>63</v>
      </c>
      <c r="BA10" s="411">
        <f>Y9</f>
        <v>4</v>
      </c>
      <c r="BB10" s="412">
        <f>AD9</f>
        <v>5</v>
      </c>
      <c r="BC10" s="398" t="s">
        <v>343</v>
      </c>
      <c r="BE10" s="394" t="s">
        <v>22</v>
      </c>
      <c r="BF10" s="409">
        <f>Y9</f>
        <v>4</v>
      </c>
      <c r="BG10" s="396">
        <f>AD9</f>
        <v>5</v>
      </c>
      <c r="BH10" s="398" t="s">
        <v>343</v>
      </c>
    </row>
    <row r="11" spans="2:60" ht="15.75" customHeight="1" thickBot="1">
      <c r="B11" s="832"/>
      <c r="C11" s="825"/>
      <c r="E11" s="354" t="b">
        <v>0</v>
      </c>
      <c r="F11" s="355" t="s">
        <v>322</v>
      </c>
      <c r="I11" s="359"/>
      <c r="J11" t="s">
        <v>785</v>
      </c>
      <c r="AF11" s="401"/>
      <c r="AG11" s="402"/>
      <c r="AH11" s="402"/>
      <c r="AI11" s="402"/>
      <c r="AK11" s="403"/>
      <c r="AL11" s="404"/>
      <c r="AM11" s="404"/>
      <c r="AN11" s="405"/>
      <c r="AP11" s="401"/>
      <c r="AQ11" s="402"/>
      <c r="AR11" s="402"/>
      <c r="AS11" s="402"/>
      <c r="AU11" s="394" t="s">
        <v>23</v>
      </c>
      <c r="AV11" s="399">
        <f>V10</f>
        <v>4.7</v>
      </c>
      <c r="AW11" s="399">
        <f>$AA$10</f>
        <v>5.44</v>
      </c>
      <c r="AX11" s="397">
        <f t="shared" ref="AX11:AX12" si="10">IFERROR(IF(((AW11-AV11)/AV11)&gt;1,"100+%",((AW11-AV11)/AV11)), "n/a")</f>
        <v>0.157446808510638</v>
      </c>
      <c r="AZ11" s="400" t="s">
        <v>65</v>
      </c>
      <c r="BA11" s="414">
        <f>Y10</f>
        <v>4.7</v>
      </c>
      <c r="BB11" s="415">
        <f>AD10</f>
        <v>5.44</v>
      </c>
      <c r="BC11" s="397">
        <f t="shared" ref="BC11:BC12" si="11">IFERROR(IF(((BB11-BA11)/BA11)&gt;1,"100+%",((BB11-BA11)/BA11)), "n/a")</f>
        <v>0.157446808510638</v>
      </c>
      <c r="BE11" s="394" t="s">
        <v>23</v>
      </c>
      <c r="BF11" s="416">
        <f>Y10</f>
        <v>4.7</v>
      </c>
      <c r="BG11" s="399">
        <f>AD10</f>
        <v>5.44</v>
      </c>
      <c r="BH11" s="397">
        <f t="shared" ref="BH11:BH12" si="12">IFERROR(IF(((BG11-BF11)/BF11)&gt;1,"100+%",((BG11-BF11)/BF11)), "n/a")</f>
        <v>0.157446808510638</v>
      </c>
    </row>
    <row r="12" spans="2:60" ht="14.7" thickBot="1">
      <c r="B12" s="832" t="s">
        <v>45</v>
      </c>
      <c r="C12" s="825" t="s">
        <v>363</v>
      </c>
      <c r="H12" s="345" t="s">
        <v>141</v>
      </c>
      <c r="I12" s="571" t="str">
        <f>Assumptions!D14</f>
        <v>Realign SR 1390 (Optimist Farm Road) and SR 1503 (Donnybrook Road) to tie directly across from one another and install shoulder-mounted actuated ("Vehicle Entering When Flashing") flashers in both directions on SR 1375 (Lake Wheeler Road)</v>
      </c>
      <c r="K12" s="98" t="s">
        <v>349</v>
      </c>
      <c r="AF12" s="394" t="str">
        <f>"Volume ("&amp;'Evaluation Set-up'!$N$5&amp;", "&amp;'Evaluation Set-up'!$N$6&amp;")"</f>
        <v>Volume (2021, 2025)</v>
      </c>
      <c r="AG12" s="417">
        <f>'Evaluation Set-up'!$R$5</f>
        <v>11700</v>
      </c>
      <c r="AH12" s="417">
        <f>'Evaluation Set-up'!$R$6</f>
        <v>11800</v>
      </c>
      <c r="AI12" s="397">
        <f t="shared" ref="AI12" si="13">IFERROR(IF(((AH12-AG12)/AG12)&gt;1,"100+%",((AH12-AG12)/AG12)), "n/a")</f>
        <v>0.00854700854700855</v>
      </c>
      <c r="AK12" s="410" t="s">
        <v>729</v>
      </c>
      <c r="AL12" s="411">
        <f>V9</f>
        <v>4</v>
      </c>
      <c r="AM12" s="412">
        <f>AA9</f>
        <v>5</v>
      </c>
      <c r="AN12" s="397">
        <f t="shared" ref="AN12:AN13" si="14">IFERROR(IF(((AM12-AL12)/AL12)&gt;1,"100+%",((AM12-AL12)/AL12)), "n/a")</f>
        <v>0.25</v>
      </c>
      <c r="AP12" s="394" t="str">
        <f>"Volume ("&amp;'Evaluation Set-up'!$N$5&amp;", "&amp;'Evaluation Set-up'!$N$6&amp;")"</f>
        <v>Volume (2021, 2025)</v>
      </c>
      <c r="AQ12" s="417">
        <f>'Evaluation Set-up'!$R$5</f>
        <v>11700</v>
      </c>
      <c r="AR12" s="417">
        <f>'Evaluation Set-up'!$R$6</f>
        <v>11800</v>
      </c>
      <c r="AS12" s="397">
        <f t="shared" ref="AS12" si="15">IFERROR(IF(((AR12-AQ12)/AQ12)&gt;1,"100+%",((AR12-AQ12)/AQ12)), "n/a")</f>
        <v>0.00854700854700855</v>
      </c>
      <c r="AU12" s="406" t="s">
        <v>341</v>
      </c>
      <c r="AV12" s="407">
        <f>AV10/('Evaluation Set-up'!$F$9+'Evaluation Set-up'!$G$9/12)</f>
        <v>0.979591836734694</v>
      </c>
      <c r="AW12" s="407">
        <f>AW10/('Evaluation Set-up'!$F$11+'Evaluation Set-up'!$G$11/12)</f>
        <v>1.22448979591837</v>
      </c>
      <c r="AX12" s="408">
        <f t="shared" si="10"/>
        <v>0.25</v>
      </c>
      <c r="AZ12" s="406" t="s">
        <v>345</v>
      </c>
      <c r="BA12" s="407">
        <f>BA10/('Evaluation Set-up'!$F$9+'Evaluation Set-up'!$G$9/12)</f>
        <v>0.979591836734694</v>
      </c>
      <c r="BB12" s="407">
        <f>BB10/('Evaluation Set-up'!$F$11+'Evaluation Set-up'!$G$11/12)</f>
        <v>1.22448979591837</v>
      </c>
      <c r="BC12" s="408">
        <f t="shared" si="11"/>
        <v>0.25</v>
      </c>
      <c r="BE12" s="406" t="s">
        <v>345</v>
      </c>
      <c r="BF12" s="407">
        <f>BF10/('Evaluation Set-up'!$F$9+'Evaluation Set-up'!$G$9/12)</f>
        <v>0.979591836734694</v>
      </c>
      <c r="BG12" s="407">
        <f>BG10/('Evaluation Set-up'!$F$11+'Evaluation Set-up'!$G$11/12)</f>
        <v>1.22448979591837</v>
      </c>
      <c r="BH12" s="408">
        <f t="shared" si="12"/>
        <v>0.25</v>
      </c>
    </row>
    <row r="13" spans="2:60" ht="15" customHeight="1" thickBot="1">
      <c r="B13" s="832"/>
      <c r="C13" s="825"/>
      <c r="E13" s="688" t="s">
        <v>42</v>
      </c>
      <c r="F13" s="689"/>
      <c r="H13" s="347" t="s">
        <v>156</v>
      </c>
      <c r="I13" s="572">
        <f>Assumptions!D16</f>
        <v>665000</v>
      </c>
      <c r="K13" s="828" t="s">
        <v>28</v>
      </c>
      <c r="L13" s="432" t="s">
        <v>16</v>
      </c>
      <c r="M13" s="432" t="s">
        <v>17</v>
      </c>
      <c r="N13" s="826" t="s">
        <v>29</v>
      </c>
      <c r="AF13" s="418"/>
      <c r="AG13" s="419"/>
      <c r="AH13" s="419"/>
      <c r="AI13" s="420"/>
      <c r="AK13" s="400" t="s">
        <v>730</v>
      </c>
      <c r="AL13" s="421">
        <f>V10</f>
        <v>4.7</v>
      </c>
      <c r="AM13" s="421">
        <f>AA10</f>
        <v>5.44</v>
      </c>
      <c r="AN13" s="397">
        <f t="shared" si="14"/>
        <v>0.157446808510638</v>
      </c>
      <c r="AP13" s="418"/>
      <c r="AQ13" s="419"/>
      <c r="AR13" s="419"/>
      <c r="AS13" s="420"/>
      <c r="AU13" s="401"/>
      <c r="AV13" s="402"/>
      <c r="AW13" s="402"/>
      <c r="AX13" s="402"/>
      <c r="AZ13" s="403"/>
      <c r="BA13" s="404"/>
      <c r="BB13" s="404"/>
      <c r="BC13" s="405"/>
      <c r="BE13" s="401"/>
      <c r="BF13" s="402"/>
      <c r="BG13" s="402"/>
      <c r="BH13" s="402"/>
    </row>
    <row r="14" spans="2:60" ht="15" customHeight="1" thickBot="1">
      <c r="B14" s="832"/>
      <c r="C14" s="825"/>
      <c r="E14" s="690" t="s">
        <v>38</v>
      </c>
      <c r="F14" s="691"/>
      <c r="H14" s="356" t="s">
        <v>158</v>
      </c>
      <c r="I14" s="573">
        <f>Assumptions!D17</f>
        <v>44379</v>
      </c>
      <c r="K14" s="829"/>
      <c r="L14" s="433" t="str">
        <f>"("&amp;TEXT(ROUND('Evaluation Set-up'!$F$9+'Evaluation Set-up'!$G$9/12, 2), "0.00")&amp;" years"&amp;")"</f>
        <v>(4.08 years)</v>
      </c>
      <c r="M14" s="433" t="str">
        <f>"("&amp;TEXT(ROUND('Evaluation Set-up'!$F$11+'Evaluation Set-up'!$G$11/12, 2), "0.00")&amp;" years"&amp;")"</f>
        <v>(4.08 years)</v>
      </c>
      <c r="N14" s="827"/>
      <c r="AF14" s="805" t="s">
        <v>24</v>
      </c>
      <c r="AG14" s="807" t="s">
        <v>16</v>
      </c>
      <c r="AH14" s="807" t="s">
        <v>17</v>
      </c>
      <c r="AI14" s="809" t="s">
        <v>25</v>
      </c>
      <c r="AK14" s="403"/>
      <c r="AL14" s="422"/>
      <c r="AM14" s="422"/>
      <c r="AN14" s="423"/>
      <c r="AP14" s="805" t="s">
        <v>24</v>
      </c>
      <c r="AQ14" s="807" t="s">
        <v>16</v>
      </c>
      <c r="AR14" s="807" t="s">
        <v>17</v>
      </c>
      <c r="AS14" s="809" t="s">
        <v>25</v>
      </c>
      <c r="AU14" s="394" t="str">
        <f>"Volume ("&amp;'Evaluation Set-up'!$N$5&amp;", "&amp;'Evaluation Set-up'!$N$6&amp;")"</f>
        <v>Volume (2021, 2025)</v>
      </c>
      <c r="AV14" s="417">
        <f>'Evaluation Set-up'!$R$5</f>
        <v>11700</v>
      </c>
      <c r="AW14" s="417">
        <f>'Evaluation Set-up'!$R$6</f>
        <v>11800</v>
      </c>
      <c r="AX14" s="397">
        <f t="shared" ref="AX14" si="16">IFERROR(IF(((AW14-AV14)/AV14)&gt;1,"100+%",((AW14-AV14)/AV14)), "n/a")</f>
        <v>0.00854700854700855</v>
      </c>
      <c r="AZ14" s="410" t="s">
        <v>729</v>
      </c>
      <c r="BA14" s="411">
        <f>V9</f>
        <v>4</v>
      </c>
      <c r="BB14" s="412">
        <f>AA9</f>
        <v>5</v>
      </c>
      <c r="BC14" s="398" t="s">
        <v>343</v>
      </c>
      <c r="BE14" s="394" t="str">
        <f>"Volume ("&amp;'Evaluation Set-up'!$N$5&amp;", "&amp;'Evaluation Set-up'!$N$6&amp;")"</f>
        <v>Volume (2021, 2025)</v>
      </c>
      <c r="BF14" s="417">
        <f>'Evaluation Set-up'!$R$5</f>
        <v>11700</v>
      </c>
      <c r="BG14" s="417">
        <f>'Evaluation Set-up'!$R$6</f>
        <v>11800</v>
      </c>
      <c r="BH14" s="397">
        <f t="shared" ref="BH14" si="17">IFERROR(IF(((BG14-BF14)/BF14)&gt;1,"100+%",((BG14-BF14)/BF14)), "n/a")</f>
        <v>0.00854700854700855</v>
      </c>
    </row>
    <row r="15" spans="2:60" ht="15.75" customHeight="1" thickBot="1">
      <c r="B15" s="832" t="s">
        <v>45</v>
      </c>
      <c r="C15" s="825" t="s">
        <v>708</v>
      </c>
      <c r="E15" s="823" t="s">
        <v>331</v>
      </c>
      <c r="F15" s="824"/>
      <c r="I15" s="359"/>
      <c r="K15" s="371" t="str">
        <f t="shared" ref="K15:K20" si="18">K5</f>
        <v>Frontal impact crashes (total)</v>
      </c>
      <c r="L15" s="372" t="str">
        <f>ROUND(L5/('Evaluation Set-up'!$F$9+'Evaluation Set-up'!$G$9/12),2)&amp;" cpy ("&amp;L5&amp;")"</f>
        <v>2.45 cpy (10)</v>
      </c>
      <c r="M15" s="372" t="str">
        <f>ROUND(M5/('Evaluation Set-up'!$F$11+'Evaluation Set-up'!$G$11/12),2)&amp;" cpy ("&amp;M5&amp;")"</f>
        <v>5.39 cpy (22)</v>
      </c>
      <c r="N15" s="373" t="str">
        <f>IFERROR(IF((((M5/('Evaluation Set-up'!$F$11+'Evaluation Set-up'!$G$11/12))-(L5/('Evaluation Set-up'!$F$9+'Evaluation Set-up'!$G$9/12)))/(L5/('Evaluation Set-up'!$F$9+'Evaluation Set-up'!$G$9/12)))&gt;1,"100+%",(((M5/('Evaluation Set-up'!$F$11+'Evaluation Set-up'!$G$11/12))-(L5/('Evaluation Set-up'!$F$9+'Evaluation Set-up'!$G$9/12)))/(L5/('Evaluation Set-up'!$F$9+'Evaluation Set-up'!$G$9/12)))), "n/a")</f>
        <v>100+%</v>
      </c>
      <c r="AF15" s="806"/>
      <c r="AG15" s="808"/>
      <c r="AH15" s="808"/>
      <c r="AI15" s="810"/>
      <c r="AK15" s="410" t="s">
        <v>731</v>
      </c>
      <c r="AL15" s="411">
        <f>W9</f>
        <v>0</v>
      </c>
      <c r="AM15" s="412">
        <f>AB9</f>
        <v>0</v>
      </c>
      <c r="AN15" s="424" t="str">
        <f>IFERROR((AM15-AL15)/AL15, "n/a")</f>
        <v>n/a</v>
      </c>
      <c r="AP15" s="806"/>
      <c r="AQ15" s="808"/>
      <c r="AR15" s="808"/>
      <c r="AS15" s="810"/>
      <c r="AU15" s="418"/>
      <c r="AV15" s="419"/>
      <c r="AW15" s="419"/>
      <c r="AX15" s="420"/>
      <c r="AZ15" s="400" t="s">
        <v>730</v>
      </c>
      <c r="BA15" s="421">
        <f>V10</f>
        <v>4.7</v>
      </c>
      <c r="BB15" s="421">
        <f>AA10</f>
        <v>5.44</v>
      </c>
      <c r="BC15" s="397">
        <f t="shared" ref="BC15:BC16" si="19">IFERROR(IF(((BB15-BA15)/BA15)&gt;1,"100+%",((BB15-BA15)/BA15)), "n/a")</f>
        <v>0.157446808510638</v>
      </c>
      <c r="BE15" s="418"/>
      <c r="BF15" s="419"/>
      <c r="BG15" s="419"/>
      <c r="BH15" s="420"/>
    </row>
    <row r="16" spans="2:60" ht="14.7" thickBot="1">
      <c r="B16" s="832"/>
      <c r="C16" s="825"/>
      <c r="H16" s="360" t="s">
        <v>320</v>
      </c>
      <c r="I16" s="597" t="str">
        <f>IF(E10,"Treatment data consists of all crashes within "&amp;Assumptions!D19&amp;" ft of study intersection",IF(E11,"Treatment data consists of bike and ped crashes within "&amp;Assumptions!D19&amp;" ft of study intersection",""))</f>
        <v>Treatment data consists of all crashes within 150 (350 on N leg) ft of study intersection</v>
      </c>
      <c r="K16" s="374" t="str">
        <f t="shared" si="18"/>
        <v>Angle crashes</v>
      </c>
      <c r="L16" s="375" t="str">
        <f>ROUND(L6/('Evaluation Set-up'!$F$9+'Evaluation Set-up'!$G$9/12),2)&amp;" cpy ("&amp;L6&amp;")"</f>
        <v>1.22 cpy (5)</v>
      </c>
      <c r="M16" s="375" t="str">
        <f>ROUND(M6/('Evaluation Set-up'!$F$11+'Evaluation Set-up'!$G$11/12),2)&amp;" cpy ("&amp;M6&amp;")"</f>
        <v>2.69 cpy (11)</v>
      </c>
      <c r="N16" s="376" t="str">
        <f>IFERROR(IF((((M6/('Evaluation Set-up'!$F$11+'Evaluation Set-up'!$G$11/12))-(L6/('Evaluation Set-up'!$F$9+'Evaluation Set-up'!$G$9/12)))/(L6/('Evaluation Set-up'!$F$9+'Evaluation Set-up'!$G$9/12)))&gt;1,"100+%",(((M6/('Evaluation Set-up'!$F$11+'Evaluation Set-up'!$G$11/12))-(L6/('Evaluation Set-up'!$F$9+'Evaluation Set-up'!$G$9/12)))/(L6/('Evaluation Set-up'!$F$9+'Evaluation Set-up'!$G$9/12)))), "n/a")</f>
        <v>100+%</v>
      </c>
      <c r="AF16" s="394" t="s">
        <v>114</v>
      </c>
      <c r="AG16" s="396">
        <f>U4</f>
        <v>0</v>
      </c>
      <c r="AH16" s="396">
        <f>Z4</f>
        <v>0</v>
      </c>
      <c r="AI16" s="397" t="str">
        <f t="shared" ref="AI16:AI20" si="20">IFERROR(IF(((AH16-AG16)/AG16)&gt;1,"100+%",((AH16-AG16)/AG16)), "n/a")</f>
        <v>n/a</v>
      </c>
      <c r="AK16" s="400" t="s">
        <v>732</v>
      </c>
      <c r="AL16" s="414">
        <f>W10</f>
        <v>0</v>
      </c>
      <c r="AM16" s="415">
        <f>AB10</f>
        <v>0</v>
      </c>
      <c r="AN16" s="397" t="str">
        <f t="shared" ref="AN16" si="21">IFERROR(IF(((AM16-AL16)/AL16)&gt;1,"100+%",((AM16-AL16)/AL16)), "n/a")</f>
        <v>n/a</v>
      </c>
      <c r="AP16" s="394" t="s">
        <v>114</v>
      </c>
      <c r="AQ16" s="396">
        <f>U4</f>
        <v>0</v>
      </c>
      <c r="AR16" s="396">
        <f>Z4</f>
        <v>0</v>
      </c>
      <c r="AS16" s="397" t="str">
        <f t="shared" ref="AS16:AS20" si="22">IFERROR(IF(((AR16-AQ16)/AQ16)&gt;1,"100+%",((AR16-AQ16)/AQ16)), "n/a")</f>
        <v>n/a</v>
      </c>
      <c r="AU16" s="805" t="s">
        <v>24</v>
      </c>
      <c r="AV16" s="392" t="s">
        <v>16</v>
      </c>
      <c r="AW16" s="392" t="s">
        <v>17</v>
      </c>
      <c r="AX16" s="809" t="s">
        <v>25</v>
      </c>
      <c r="AZ16" s="406" t="s">
        <v>733</v>
      </c>
      <c r="BA16" s="407">
        <f>BA14/('Evaluation Set-up'!$F$9+'Evaluation Set-up'!$G$9/12)</f>
        <v>0.979591836734694</v>
      </c>
      <c r="BB16" s="407">
        <f>BB14/('Evaluation Set-up'!$F$11+'Evaluation Set-up'!$G$11/12)</f>
        <v>1.22448979591837</v>
      </c>
      <c r="BC16" s="408">
        <f t="shared" si="19"/>
        <v>0.25</v>
      </c>
      <c r="BE16" s="805" t="s">
        <v>24</v>
      </c>
      <c r="BF16" s="392" t="s">
        <v>16</v>
      </c>
      <c r="BG16" s="392" t="s">
        <v>17</v>
      </c>
      <c r="BH16" s="809" t="s">
        <v>25</v>
      </c>
    </row>
    <row r="17" spans="2:60" ht="14.7" thickBot="1">
      <c r="B17" s="832"/>
      <c r="C17" s="825"/>
      <c r="I17" s="359"/>
      <c r="K17" s="374" t="str">
        <f t="shared" si="18"/>
        <v>LTDR crashes</v>
      </c>
      <c r="L17" s="375" t="str">
        <f>ROUND(L7/('Evaluation Set-up'!$F$9+'Evaluation Set-up'!$G$9/12),2)&amp;" cpy ("&amp;L7&amp;")"</f>
        <v>0 cpy (0)</v>
      </c>
      <c r="M17" s="375" t="str">
        <f>ROUND(M7/('Evaluation Set-up'!$F$11+'Evaluation Set-up'!$G$11/12),2)&amp;" cpy ("&amp;M7&amp;")"</f>
        <v>0.98 cpy (4)</v>
      </c>
      <c r="N17" s="376" t="str">
        <f>IFERROR(IF((((M7/('Evaluation Set-up'!$F$11+'Evaluation Set-up'!$G$11/12))-(L7/('Evaluation Set-up'!$F$9+'Evaluation Set-up'!$G$9/12)))/(L7/('Evaluation Set-up'!$F$9+'Evaluation Set-up'!$G$9/12)))&gt;1,"100+%",(((M7/('Evaluation Set-up'!$F$11+'Evaluation Set-up'!$G$11/12))-(L7/('Evaluation Set-up'!$F$9+'Evaluation Set-up'!$G$9/12)))/(L7/('Evaluation Set-up'!$F$9+'Evaluation Set-up'!$G$9/12)))), "n/a")</f>
        <v>n/a</v>
      </c>
      <c r="AF17" s="394" t="s">
        <v>115</v>
      </c>
      <c r="AG17" s="396">
        <f>U5</f>
        <v>0</v>
      </c>
      <c r="AH17" s="396">
        <f>Z5</f>
        <v>0</v>
      </c>
      <c r="AI17" s="397" t="str">
        <f t="shared" si="20"/>
        <v>n/a</v>
      </c>
      <c r="AK17" s="403"/>
      <c r="AL17" s="422"/>
      <c r="AM17" s="422"/>
      <c r="AN17" s="423"/>
      <c r="AP17" s="394" t="s">
        <v>115</v>
      </c>
      <c r="AQ17" s="396">
        <f>U5</f>
        <v>0</v>
      </c>
      <c r="AR17" s="396">
        <f>Z5</f>
        <v>0</v>
      </c>
      <c r="AS17" s="397" t="str">
        <f t="shared" si="22"/>
        <v>n/a</v>
      </c>
      <c r="AU17" s="806"/>
      <c r="AV17" s="393" t="str">
        <f>"("&amp;TEXT(ROUND('Evaluation Set-up'!$F$9+'Evaluation Set-up'!$G$9/12, 2), "0.00")&amp;" years"&amp;")"</f>
        <v>(4.08 years)</v>
      </c>
      <c r="AW17" s="393" t="str">
        <f>"("&amp;TEXT(ROUND('Evaluation Set-up'!$F$11+'Evaluation Set-up'!$G$11/12, 2), "0.00")&amp;" years"&amp;")"</f>
        <v>(4.08 years)</v>
      </c>
      <c r="AX17" s="810"/>
      <c r="AZ17" s="403"/>
      <c r="BA17" s="422"/>
      <c r="BB17" s="422"/>
      <c r="BC17" s="423"/>
      <c r="BE17" s="806"/>
      <c r="BF17" s="393" t="str">
        <f>"("&amp;TEXT(ROUND('Evaluation Set-up'!$F$9+'Evaluation Set-up'!$G$9/12, 2), "0.00")&amp;" years"&amp;")"</f>
        <v>(4.08 years)</v>
      </c>
      <c r="BG17" s="393" t="str">
        <f>"("&amp;TEXT(ROUND('Evaluation Set-up'!$F$11+'Evaluation Set-up'!$G$11/12, 2), "0.00")&amp;" years"&amp;")"</f>
        <v>(4.08 years)</v>
      </c>
      <c r="BH17" s="810"/>
    </row>
    <row r="18" spans="2:60" ht="15.3">
      <c r="B18" s="346" t="s">
        <v>45</v>
      </c>
      <c r="C18" s="361" t="s">
        <v>364</v>
      </c>
      <c r="H18" s="345" t="s">
        <v>242</v>
      </c>
      <c r="I18" s="574" t="str">
        <f>Assumptions!D20</f>
        <v>Frontal Impact Crashes in the Intersection (angle, left turn different roadways, right turn different roadways, left/right turn same roadway and head-on) within the Y-line</v>
      </c>
      <c r="K18" s="374" t="str">
        <f t="shared" si="18"/>
        <v>Rear end crashes (total)</v>
      </c>
      <c r="L18" s="375" t="str">
        <f>ROUND(L8/('Evaluation Set-up'!$F$9+'Evaluation Set-up'!$G$9/12),2)&amp;" cpy ("&amp;L8&amp;")"</f>
        <v>0.98 cpy (4)</v>
      </c>
      <c r="M18" s="375" t="str">
        <f>ROUND(M8/('Evaluation Set-up'!$F$11+'Evaluation Set-up'!$G$11/12),2)&amp;" cpy ("&amp;M8&amp;")"</f>
        <v>2.45 cpy (10)</v>
      </c>
      <c r="N18" s="376" t="str">
        <f>IFERROR(IF((((M8/('Evaluation Set-up'!$F$11+'Evaluation Set-up'!$G$11/12))-(L8/('Evaluation Set-up'!$F$9+'Evaluation Set-up'!$G$9/12)))/(L8/('Evaluation Set-up'!$F$9+'Evaluation Set-up'!$G$9/12)))&gt;1,"100+%",(((M8/('Evaluation Set-up'!$F$11+'Evaluation Set-up'!$G$11/12))-(L8/('Evaluation Set-up'!$F$9+'Evaluation Set-up'!$G$9/12)))/(L8/('Evaluation Set-up'!$F$9+'Evaluation Set-up'!$G$9/12)))), "n/a")</f>
        <v>100+%</v>
      </c>
      <c r="V18" s="100"/>
      <c r="AF18" s="394" t="s">
        <v>116</v>
      </c>
      <c r="AG18" s="396">
        <f>U6</f>
        <v>0</v>
      </c>
      <c r="AH18" s="396">
        <f>Z6</f>
        <v>2</v>
      </c>
      <c r="AI18" s="397" t="str">
        <f t="shared" si="20"/>
        <v>n/a</v>
      </c>
      <c r="AK18" s="410" t="str">
        <f>"Volume ("&amp;'Evaluation Set-up'!$N$5&amp;", "&amp;'Evaluation Set-up'!$N$6&amp;")"</f>
        <v>Volume (2021, 2025)</v>
      </c>
      <c r="AL18" s="425">
        <f>'Evaluation Set-up'!$R$5</f>
        <v>11700</v>
      </c>
      <c r="AM18" s="425">
        <f>'Evaluation Set-up'!$R$6</f>
        <v>11800</v>
      </c>
      <c r="AN18" s="397">
        <f t="shared" ref="AN18" si="23">IFERROR(IF(((AM18-AL18)/AL18)&gt;1,"100+%",((AM18-AL18)/AL18)), "n/a")</f>
        <v>0.00854700854700855</v>
      </c>
      <c r="AP18" s="394" t="s">
        <v>116</v>
      </c>
      <c r="AQ18" s="396">
        <f>U6</f>
        <v>0</v>
      </c>
      <c r="AR18" s="396">
        <f>Z6</f>
        <v>2</v>
      </c>
      <c r="AS18" s="397" t="str">
        <f t="shared" si="22"/>
        <v>n/a</v>
      </c>
      <c r="AU18" s="394" t="s">
        <v>114</v>
      </c>
      <c r="AV18" s="396">
        <f>U4</f>
        <v>0</v>
      </c>
      <c r="AW18" s="396">
        <f>Z4</f>
        <v>0</v>
      </c>
      <c r="AX18" s="398" t="s">
        <v>343</v>
      </c>
      <c r="AZ18" s="410" t="s">
        <v>731</v>
      </c>
      <c r="BA18" s="411">
        <f>W9</f>
        <v>0</v>
      </c>
      <c r="BB18" s="412">
        <f>AB9</f>
        <v>0</v>
      </c>
      <c r="BC18" s="398" t="s">
        <v>343</v>
      </c>
      <c r="BE18" s="394" t="s">
        <v>114</v>
      </c>
      <c r="BF18" s="396">
        <f>U4</f>
        <v>0</v>
      </c>
      <c r="BG18" s="396">
        <f>Z4</f>
        <v>0</v>
      </c>
      <c r="BH18" s="398" t="s">
        <v>343</v>
      </c>
    </row>
    <row r="19" spans="2:60" ht="15.3">
      <c r="B19" s="832" t="s">
        <v>45</v>
      </c>
      <c r="C19" s="825" t="s">
        <v>365</v>
      </c>
      <c r="H19" s="347" t="s">
        <v>243</v>
      </c>
      <c r="I19" s="575" t="str">
        <f>IF(Assumptions!D21&gt;0,Assumptions!D21,"")</f>
        <v>Rear End Crashes on SR 1375 (Lake Wheeler Road) approaching the intersection (both directions)</v>
      </c>
      <c r="K19" s="374" t="str">
        <f t="shared" si="18"/>
        <v>Night crashes</v>
      </c>
      <c r="L19" s="375" t="str">
        <f>ROUND(L9/('Evaluation Set-up'!$F$9+'Evaluation Set-up'!$G$9/12),2)&amp;" cpy ("&amp;L9&amp;")"</f>
        <v>0.24 cpy (1)</v>
      </c>
      <c r="M19" s="375" t="str">
        <f>ROUND(M9/('Evaluation Set-up'!$F$11+'Evaluation Set-up'!$G$11/12),2)&amp;" cpy ("&amp;M9&amp;")"</f>
        <v>0.73 cpy (3)</v>
      </c>
      <c r="N19" s="376" t="str">
        <f>IFERROR(IF((((M9/('Evaluation Set-up'!$F$11+'Evaluation Set-up'!$G$11/12))-(L9/('Evaluation Set-up'!$F$9+'Evaluation Set-up'!$G$9/12)))/(L9/('Evaluation Set-up'!$F$9+'Evaluation Set-up'!$G$9/12)))&gt;1,"100+%",(((M9/('Evaluation Set-up'!$F$11+'Evaluation Set-up'!$G$11/12))-(L9/('Evaluation Set-up'!$F$9+'Evaluation Set-up'!$G$9/12)))/(L9/('Evaluation Set-up'!$F$9+'Evaluation Set-up'!$G$9/12)))), "n/a")</f>
        <v>100+%</v>
      </c>
      <c r="AF19" s="394" t="s">
        <v>26</v>
      </c>
      <c r="AG19" s="396">
        <f>U7</f>
        <v>5</v>
      </c>
      <c r="AH19" s="396">
        <f>Z7</f>
        <v>7</v>
      </c>
      <c r="AI19" s="397">
        <f t="shared" si="20"/>
        <v>0.4</v>
      </c>
      <c r="AK19" s="418"/>
      <c r="AL19" s="419"/>
      <c r="AM19" s="419"/>
      <c r="AN19" s="420"/>
      <c r="AP19" s="394" t="s">
        <v>26</v>
      </c>
      <c r="AQ19" s="396">
        <f>U7</f>
        <v>5</v>
      </c>
      <c r="AR19" s="396">
        <f>Z7</f>
        <v>7</v>
      </c>
      <c r="AS19" s="397">
        <f t="shared" si="22"/>
        <v>0.4</v>
      </c>
      <c r="AU19" s="394" t="s">
        <v>115</v>
      </c>
      <c r="AV19" s="396">
        <f>U5</f>
        <v>0</v>
      </c>
      <c r="AW19" s="396">
        <f>Z5</f>
        <v>0</v>
      </c>
      <c r="AX19" s="398" t="s">
        <v>343</v>
      </c>
      <c r="AZ19" s="400" t="s">
        <v>732</v>
      </c>
      <c r="BA19" s="414">
        <f>W10</f>
        <v>0</v>
      </c>
      <c r="BB19" s="415">
        <f>AB10</f>
        <v>0</v>
      </c>
      <c r="BC19" s="397" t="str">
        <f t="shared" ref="BC19:BC20" si="24">IFERROR(IF(((BB19-BA19)/BA19)&gt;1,"100+%",((BB19-BA19)/BA19)), "n/a")</f>
        <v>n/a</v>
      </c>
      <c r="BE19" s="394" t="s">
        <v>115</v>
      </c>
      <c r="BF19" s="396">
        <f>U5</f>
        <v>0</v>
      </c>
      <c r="BG19" s="396">
        <f>Z5</f>
        <v>0</v>
      </c>
      <c r="BH19" s="398" t="s">
        <v>343</v>
      </c>
    </row>
    <row r="20" spans="2:60" ht="15.6" thickBot="1">
      <c r="B20" s="832"/>
      <c r="C20" s="825"/>
      <c r="H20" s="356" t="s">
        <v>309</v>
      </c>
      <c r="I20" s="576" t="str">
        <f>IF(Assumptions!D22&gt;0,Assumptions!D22,"")</f>
        <v/>
      </c>
      <c r="K20" s="377" t="str">
        <f t="shared" si="18"/>
        <v>Wet crashes</v>
      </c>
      <c r="L20" s="378" t="str">
        <f>ROUND(L10/('Evaluation Set-up'!$F$9+'Evaluation Set-up'!$G$9/12),2)&amp;" cpy ("&amp;L10&amp;")"</f>
        <v>1.22 cpy (5)</v>
      </c>
      <c r="M20" s="378" t="str">
        <f>ROUND(M10/('Evaluation Set-up'!$F$11+'Evaluation Set-up'!$G$11/12),2)&amp;" cpy ("&amp;M10&amp;")"</f>
        <v>0.98 cpy (4)</v>
      </c>
      <c r="N20" s="379">
        <f>IFERROR(IF((((M10/('Evaluation Set-up'!$F$11+'Evaluation Set-up'!$G$11/12))-(L10/('Evaluation Set-up'!$F$9+'Evaluation Set-up'!$G$9/12)))/(L10/('Evaluation Set-up'!$F$9+'Evaluation Set-up'!$G$9/12)))&gt;1,"100+%",(((M10/('Evaluation Set-up'!$F$11+'Evaluation Set-up'!$G$11/12))-(L10/('Evaluation Set-up'!$F$9+'Evaluation Set-up'!$G$9/12)))/(L10/('Evaluation Set-up'!$F$9+'Evaluation Set-up'!$G$9/12)))), "n/a")</f>
        <v>-0.2</v>
      </c>
      <c r="AF20" s="394" t="s">
        <v>27</v>
      </c>
      <c r="AG20" s="396">
        <f>U8</f>
        <v>15</v>
      </c>
      <c r="AH20" s="396">
        <f>Z8</f>
        <v>26</v>
      </c>
      <c r="AI20" s="397">
        <f t="shared" si="20"/>
        <v>0.733333333333333</v>
      </c>
      <c r="AK20" s="805" t="s">
        <v>24</v>
      </c>
      <c r="AL20" s="807" t="s">
        <v>16</v>
      </c>
      <c r="AM20" s="807" t="s">
        <v>17</v>
      </c>
      <c r="AN20" s="809" t="s">
        <v>25</v>
      </c>
      <c r="AP20" s="394" t="s">
        <v>27</v>
      </c>
      <c r="AQ20" s="396">
        <f>U8</f>
        <v>15</v>
      </c>
      <c r="AR20" s="396">
        <f>Z8</f>
        <v>26</v>
      </c>
      <c r="AS20" s="397">
        <f t="shared" si="22"/>
        <v>0.733333333333333</v>
      </c>
      <c r="AU20" s="394" t="s">
        <v>116</v>
      </c>
      <c r="AV20" s="396">
        <f>U6</f>
        <v>0</v>
      </c>
      <c r="AW20" s="396">
        <f>Z6</f>
        <v>2</v>
      </c>
      <c r="AX20" s="398" t="s">
        <v>343</v>
      </c>
      <c r="AZ20" s="406" t="s">
        <v>734</v>
      </c>
      <c r="BA20" s="407">
        <f>BA18/('Evaluation Set-up'!$F$9+'Evaluation Set-up'!$G$9/12)</f>
        <v>0</v>
      </c>
      <c r="BB20" s="407">
        <f>BB18/('Evaluation Set-up'!$F$11+'Evaluation Set-up'!$G$11/12)</f>
        <v>0</v>
      </c>
      <c r="BC20" s="408" t="str">
        <f t="shared" si="24"/>
        <v>n/a</v>
      </c>
      <c r="BE20" s="394" t="s">
        <v>116</v>
      </c>
      <c r="BF20" s="396">
        <f>U6</f>
        <v>0</v>
      </c>
      <c r="BG20" s="396">
        <f>Z6</f>
        <v>2</v>
      </c>
      <c r="BH20" s="398" t="s">
        <v>343</v>
      </c>
    </row>
    <row r="21" spans="2:60" ht="15.6" thickBot="1">
      <c r="B21" s="832" t="s">
        <v>45</v>
      </c>
      <c r="C21" s="825" t="s">
        <v>710</v>
      </c>
      <c r="AF21" s="426"/>
      <c r="AG21" s="426"/>
      <c r="AH21" s="426"/>
      <c r="AI21" s="426"/>
      <c r="AK21" s="806"/>
      <c r="AL21" s="808"/>
      <c r="AM21" s="808"/>
      <c r="AN21" s="810"/>
      <c r="AP21" s="426"/>
      <c r="AQ21" s="426"/>
      <c r="AR21" s="426"/>
      <c r="AS21" s="426"/>
      <c r="AU21" s="394" t="s">
        <v>26</v>
      </c>
      <c r="AV21" s="396">
        <f>U7</f>
        <v>5</v>
      </c>
      <c r="AW21" s="396">
        <f>Z7</f>
        <v>7</v>
      </c>
      <c r="AX21" s="398" t="s">
        <v>343</v>
      </c>
      <c r="AZ21" s="403"/>
      <c r="BA21" s="422"/>
      <c r="BB21" s="422"/>
      <c r="BC21" s="423"/>
      <c r="BE21" s="394" t="s">
        <v>26</v>
      </c>
      <c r="BF21" s="396">
        <f>U7</f>
        <v>5</v>
      </c>
      <c r="BG21" s="396">
        <f>Z7</f>
        <v>7</v>
      </c>
      <c r="BH21" s="398" t="s">
        <v>343</v>
      </c>
    </row>
    <row r="22" spans="2:60" ht="15" customHeight="1">
      <c r="B22" s="832"/>
      <c r="C22" s="825"/>
      <c r="H22" s="345" t="s">
        <v>147</v>
      </c>
      <c r="I22" s="362" t="s">
        <v>775</v>
      </c>
      <c r="K22" s="363"/>
      <c r="L22" s="364" t="s">
        <v>142</v>
      </c>
      <c r="M22" s="364" t="s">
        <v>143</v>
      </c>
      <c r="N22" s="364" t="s">
        <v>441</v>
      </c>
      <c r="T22" s="427"/>
      <c r="U22" s="427"/>
      <c r="V22" s="100"/>
      <c r="AF22" s="803" t="s">
        <v>66</v>
      </c>
      <c r="AG22" s="807" t="s">
        <v>16</v>
      </c>
      <c r="AH22" s="807" t="s">
        <v>17</v>
      </c>
      <c r="AI22" s="809" t="s">
        <v>25</v>
      </c>
      <c r="AK22" s="394" t="s">
        <v>114</v>
      </c>
      <c r="AL22" s="396">
        <f>U4</f>
        <v>0</v>
      </c>
      <c r="AM22" s="396">
        <f>Z4</f>
        <v>0</v>
      </c>
      <c r="AN22" s="397" t="str">
        <f t="shared" ref="AN22:AN26" si="25">IFERROR(IF(((AM22-AL22)/AL22)&gt;1,"100+%",((AM22-AL22)/AL22)), "n/a")</f>
        <v>n/a</v>
      </c>
      <c r="AP22" s="803" t="s">
        <v>154</v>
      </c>
      <c r="AQ22" s="807" t="s">
        <v>16</v>
      </c>
      <c r="AR22" s="807" t="s">
        <v>17</v>
      </c>
      <c r="AS22" s="809" t="s">
        <v>25</v>
      </c>
      <c r="AU22" s="394" t="s">
        <v>27</v>
      </c>
      <c r="AV22" s="396">
        <f>U8</f>
        <v>15</v>
      </c>
      <c r="AW22" s="396">
        <f>Z8</f>
        <v>26</v>
      </c>
      <c r="AX22" s="398" t="s">
        <v>343</v>
      </c>
      <c r="AZ22" s="410" t="str">
        <f>"Volume ("&amp;'Evaluation Set-up'!$N$5&amp;", "&amp;'Evaluation Set-up'!$N$6&amp;")"</f>
        <v>Volume (2021, 2025)</v>
      </c>
      <c r="BA22" s="425">
        <f>'Evaluation Set-up'!$R$5</f>
        <v>11700</v>
      </c>
      <c r="BB22" s="425">
        <f>'Evaluation Set-up'!$R$6</f>
        <v>11800</v>
      </c>
      <c r="BC22" s="397">
        <f t="shared" ref="BC22" si="26">IFERROR(IF(((BB22-BA22)/BA22)&gt;1,"100+%",((BB22-BA22)/BA22)), "n/a")</f>
        <v>0.00854700854700855</v>
      </c>
      <c r="BE22" s="394" t="s">
        <v>27</v>
      </c>
      <c r="BF22" s="396">
        <f>U8</f>
        <v>15</v>
      </c>
      <c r="BG22" s="396">
        <f>Z8</f>
        <v>26</v>
      </c>
      <c r="BH22" s="398" t="s">
        <v>343</v>
      </c>
    </row>
    <row r="23" spans="2:60">
      <c r="B23" s="832" t="s">
        <v>45</v>
      </c>
      <c r="C23" s="825" t="s">
        <v>711</v>
      </c>
      <c r="H23" s="347" t="s">
        <v>145</v>
      </c>
      <c r="I23" s="365" t="s">
        <v>776</v>
      </c>
      <c r="K23" s="366" t="s">
        <v>112</v>
      </c>
      <c r="L23" s="380">
        <f>'Evaluation Set-up'!D9</f>
        <v>42826</v>
      </c>
      <c r="M23" s="380">
        <f>'Evaluation Set-up'!E9</f>
        <v>44316</v>
      </c>
      <c r="N23" s="381" t="str">
        <f>'Evaluation Set-up'!F9&amp;"y, "&amp;'Evaluation Set-up'!G9&amp;"m"</f>
        <v>4y, 1m</v>
      </c>
      <c r="AF23" s="804"/>
      <c r="AG23" s="808"/>
      <c r="AH23" s="808"/>
      <c r="AI23" s="810"/>
      <c r="AK23" s="394" t="s">
        <v>115</v>
      </c>
      <c r="AL23" s="396">
        <f>U5</f>
        <v>0</v>
      </c>
      <c r="AM23" s="396">
        <f>Z5</f>
        <v>0</v>
      </c>
      <c r="AN23" s="397" t="str">
        <f t="shared" si="25"/>
        <v>n/a</v>
      </c>
      <c r="AP23" s="804"/>
      <c r="AQ23" s="808"/>
      <c r="AR23" s="808"/>
      <c r="AS23" s="810"/>
      <c r="AU23" s="401"/>
      <c r="AV23" s="402"/>
      <c r="AW23" s="402"/>
      <c r="AX23" s="402"/>
      <c r="AZ23" s="418"/>
      <c r="BA23" s="419"/>
      <c r="BB23" s="419"/>
      <c r="BC23" s="420"/>
      <c r="BE23" s="401"/>
      <c r="BF23" s="402"/>
      <c r="BG23" s="402"/>
      <c r="BH23" s="402"/>
    </row>
    <row r="24" spans="2:60" ht="14.7" thickBot="1">
      <c r="B24" s="832"/>
      <c r="C24" s="825"/>
      <c r="H24" s="356" t="s">
        <v>146</v>
      </c>
      <c r="I24" s="620">
        <v>46293</v>
      </c>
      <c r="K24" s="366" t="s">
        <v>144</v>
      </c>
      <c r="L24" s="380">
        <f>'Evaluation Set-up'!D10</f>
        <v>44317</v>
      </c>
      <c r="M24" s="380">
        <f>'Evaluation Set-up'!E10</f>
        <v>44773</v>
      </c>
      <c r="N24" s="381" t="str">
        <f>'Evaluation Set-up'!F10&amp;"y, "&amp;'Evaluation Set-up'!G10&amp;"m"</f>
        <v>1y, 3m</v>
      </c>
      <c r="AF24" s="394" t="s">
        <v>114</v>
      </c>
      <c r="AG24" s="396">
        <f>V4</f>
        <v>0</v>
      </c>
      <c r="AH24" s="396">
        <f>AA4</f>
        <v>0</v>
      </c>
      <c r="AI24" s="397" t="str">
        <f t="shared" ref="AI24:AI28" si="27">IFERROR(IF(((AH24-AG24)/AG24)&gt;1,"100+%",((AH24-AG24)/AG24)), "n/a")</f>
        <v>n/a</v>
      </c>
      <c r="AK24" s="394" t="s">
        <v>116</v>
      </c>
      <c r="AL24" s="396">
        <f>U6</f>
        <v>0</v>
      </c>
      <c r="AM24" s="396">
        <f>Z6</f>
        <v>2</v>
      </c>
      <c r="AN24" s="397" t="str">
        <f t="shared" si="25"/>
        <v>n/a</v>
      </c>
      <c r="AP24" s="394" t="s">
        <v>114</v>
      </c>
      <c r="AQ24" s="396">
        <f>Y4</f>
        <v>0</v>
      </c>
      <c r="AR24" s="396">
        <f>AD4</f>
        <v>0</v>
      </c>
      <c r="AS24" s="397" t="str">
        <f t="shared" ref="AS24:AS28" si="28">IFERROR(IF(((AR24-AQ24)/AQ24)&gt;1,"100+%",((AR24-AQ24)/AQ24)), "n/a")</f>
        <v>n/a</v>
      </c>
      <c r="AU24" s="406" t="s">
        <v>342</v>
      </c>
      <c r="AV24" s="428">
        <f>ROUND(SUM(AV18:AV21)/('Evaluation Set-up'!$F$9+'Evaluation Set-up'!$G$9/12),2)</f>
        <v>1.22</v>
      </c>
      <c r="AW24" s="428">
        <f>ROUND(SUM(AW18:AW21)/('Evaluation Set-up'!$F$11+'Evaluation Set-up'!$G$11/12),2)</f>
        <v>2.2</v>
      </c>
      <c r="AX24" s="408">
        <f t="shared" ref="AX24" si="29">IFERROR(IF(((AW24-AV24)/AV24)&gt;1,"100+%",((AW24-AV24)/AV24)), "n/a")</f>
        <v>0.80327868852459</v>
      </c>
      <c r="AZ24" s="805" t="s">
        <v>24</v>
      </c>
      <c r="BA24" s="392" t="s">
        <v>16</v>
      </c>
      <c r="BB24" s="392" t="s">
        <v>17</v>
      </c>
      <c r="BC24" s="809" t="s">
        <v>25</v>
      </c>
      <c r="BE24" s="406" t="s">
        <v>342</v>
      </c>
      <c r="BF24" s="428">
        <f>ROUND(SUM(BF18:BF21)/('Evaluation Set-up'!$F$9+'Evaluation Set-up'!$G$9/12),2)</f>
        <v>1.22</v>
      </c>
      <c r="BG24" s="428">
        <f>ROUND(SUM(BG18:BG21)/('Evaluation Set-up'!$F$11+'Evaluation Set-up'!$G$11/12),2)</f>
        <v>2.2</v>
      </c>
      <c r="BH24" s="408">
        <f t="shared" ref="BH24" si="30">IFERROR(IF(((BG24-BF24)/BF24)&gt;1,"100+%",((BG24-BF24)/BF24)), "n/a")</f>
        <v>0.80327868852459</v>
      </c>
    </row>
    <row r="25" spans="2:60" ht="14.7" thickBot="1">
      <c r="B25" s="832"/>
      <c r="C25" s="825"/>
      <c r="K25" s="366" t="s">
        <v>113</v>
      </c>
      <c r="L25" s="380">
        <f>'Evaluation Set-up'!D11</f>
        <v>44774</v>
      </c>
      <c r="M25" s="380">
        <f>'Evaluation Set-up'!E11</f>
        <v>46265</v>
      </c>
      <c r="N25" s="381" t="str">
        <f>'Evaluation Set-up'!F11&amp;"y, "&amp;'Evaluation Set-up'!G11&amp;"m"</f>
        <v>4y, 1m</v>
      </c>
      <c r="AF25" s="394" t="s">
        <v>115</v>
      </c>
      <c r="AG25" s="396">
        <f>V5</f>
        <v>0</v>
      </c>
      <c r="AH25" s="396">
        <f>AA5</f>
        <v>0</v>
      </c>
      <c r="AI25" s="397" t="str">
        <f t="shared" si="27"/>
        <v>n/a</v>
      </c>
      <c r="AK25" s="394" t="s">
        <v>26</v>
      </c>
      <c r="AL25" s="396">
        <f>U7</f>
        <v>5</v>
      </c>
      <c r="AM25" s="396">
        <f>Z7</f>
        <v>7</v>
      </c>
      <c r="AN25" s="397">
        <f t="shared" si="25"/>
        <v>0.4</v>
      </c>
      <c r="AP25" s="394" t="s">
        <v>115</v>
      </c>
      <c r="AQ25" s="396">
        <f>Y5</f>
        <v>0</v>
      </c>
      <c r="AR25" s="396">
        <f>AD5</f>
        <v>0</v>
      </c>
      <c r="AS25" s="397" t="str">
        <f t="shared" si="28"/>
        <v>n/a</v>
      </c>
      <c r="AU25" s="418"/>
      <c r="AV25" s="429"/>
      <c r="AW25" s="429"/>
      <c r="AX25" s="420"/>
      <c r="AZ25" s="806"/>
      <c r="BA25" s="393" t="str">
        <f>"("&amp;TEXT(ROUND('Evaluation Set-up'!$F$9+'Evaluation Set-up'!$G$9/12, 2), "0.00")&amp;" years"&amp;")"</f>
        <v>(4.08 years)</v>
      </c>
      <c r="BB25" s="393" t="str">
        <f>"("&amp;TEXT(ROUND('Evaluation Set-up'!$F$11+'Evaluation Set-up'!$G$11/12, 2), "0.00")&amp;" years"&amp;")"</f>
        <v>(4.08 years)</v>
      </c>
      <c r="BC25" s="810"/>
      <c r="BE25" s="418"/>
      <c r="BF25" s="429"/>
      <c r="BG25" s="429"/>
      <c r="BH25" s="420"/>
    </row>
    <row r="26" spans="2:60" ht="15.6" thickBot="1">
      <c r="B26" s="832" t="s">
        <v>45</v>
      </c>
      <c r="C26" s="833" t="s">
        <v>738</v>
      </c>
      <c r="H26" s="360" t="s">
        <v>709</v>
      </c>
      <c r="I26" s="627" t="s">
        <v>1345</v>
      </c>
      <c r="AF26" s="394" t="s">
        <v>116</v>
      </c>
      <c r="AG26" s="396">
        <f>V6</f>
        <v>0</v>
      </c>
      <c r="AH26" s="396">
        <f>AA6</f>
        <v>0</v>
      </c>
      <c r="AI26" s="397" t="str">
        <f t="shared" si="27"/>
        <v>n/a</v>
      </c>
      <c r="AK26" s="394" t="s">
        <v>27</v>
      </c>
      <c r="AL26" s="396">
        <f>U8</f>
        <v>15</v>
      </c>
      <c r="AM26" s="396">
        <f>Z8</f>
        <v>26</v>
      </c>
      <c r="AN26" s="397">
        <f t="shared" si="25"/>
        <v>0.733333333333333</v>
      </c>
      <c r="AP26" s="394" t="s">
        <v>116</v>
      </c>
      <c r="AQ26" s="396">
        <f>Y6</f>
        <v>0</v>
      </c>
      <c r="AR26" s="396">
        <f>AD6</f>
        <v>0</v>
      </c>
      <c r="AS26" s="397" t="str">
        <f t="shared" si="28"/>
        <v>n/a</v>
      </c>
      <c r="AU26" s="822" t="s">
        <v>66</v>
      </c>
      <c r="AV26" s="392" t="s">
        <v>16</v>
      </c>
      <c r="AW26" s="430" t="s">
        <v>17</v>
      </c>
      <c r="AX26" s="815" t="s">
        <v>25</v>
      </c>
      <c r="AZ26" s="394" t="s">
        <v>114</v>
      </c>
      <c r="BA26" s="396">
        <f>U4</f>
        <v>0</v>
      </c>
      <c r="BB26" s="396">
        <f>Z4</f>
        <v>0</v>
      </c>
      <c r="BC26" s="398" t="s">
        <v>343</v>
      </c>
      <c r="BE26" s="803" t="s">
        <v>154</v>
      </c>
      <c r="BF26" s="392" t="s">
        <v>16</v>
      </c>
      <c r="BG26" s="392" t="s">
        <v>17</v>
      </c>
      <c r="BH26" s="809" t="s">
        <v>25</v>
      </c>
    </row>
    <row r="27" spans="2:60" ht="15.3">
      <c r="B27" s="832"/>
      <c r="C27" s="833"/>
      <c r="K27" s="799" t="s">
        <v>442</v>
      </c>
      <c r="L27" s="801" t="s">
        <v>111</v>
      </c>
      <c r="M27" s="801" t="s">
        <v>443</v>
      </c>
      <c r="N27" s="801" t="s">
        <v>444</v>
      </c>
      <c r="AF27" s="394" t="s">
        <v>26</v>
      </c>
      <c r="AG27" s="396">
        <f>V7</f>
        <v>2</v>
      </c>
      <c r="AH27" s="396">
        <f>AA7</f>
        <v>3</v>
      </c>
      <c r="AI27" s="397">
        <f t="shared" si="27"/>
        <v>0.5</v>
      </c>
      <c r="AK27" s="426"/>
      <c r="AL27" s="426"/>
      <c r="AM27" s="426"/>
      <c r="AN27" s="426"/>
      <c r="AP27" s="394" t="s">
        <v>26</v>
      </c>
      <c r="AQ27" s="396">
        <f>Y7</f>
        <v>2</v>
      </c>
      <c r="AR27" s="396">
        <f>AD7</f>
        <v>3</v>
      </c>
      <c r="AS27" s="397">
        <f t="shared" si="28"/>
        <v>0.5</v>
      </c>
      <c r="AU27" s="822"/>
      <c r="AV27" s="393" t="str">
        <f>"("&amp;TEXT(ROUND('Evaluation Set-up'!$F$9+'Evaluation Set-up'!$G$9/12, 2), "0.00")&amp;" years"&amp;")"</f>
        <v>(4.08 years)</v>
      </c>
      <c r="AW27" s="431" t="str">
        <f>"("&amp;TEXT(ROUND('Evaluation Set-up'!$F$11+'Evaluation Set-up'!$G$11/12, 2), "0.00")&amp;" years"&amp;")"</f>
        <v>(4.08 years)</v>
      </c>
      <c r="AX27" s="815"/>
      <c r="AZ27" s="394" t="s">
        <v>115</v>
      </c>
      <c r="BA27" s="396">
        <f>U5</f>
        <v>0</v>
      </c>
      <c r="BB27" s="396">
        <f>Z5</f>
        <v>0</v>
      </c>
      <c r="BC27" s="398" t="s">
        <v>343</v>
      </c>
      <c r="BE27" s="804"/>
      <c r="BF27" s="393" t="str">
        <f>"("&amp;TEXT(ROUND('Evaluation Set-up'!$F$9+'Evaluation Set-up'!$G$9/12, 2), "0.00")&amp;" years"&amp;")"</f>
        <v>(4.08 years)</v>
      </c>
      <c r="BG27" s="393" t="str">
        <f>"("&amp;TEXT(ROUND('Evaluation Set-up'!$F$11+'Evaluation Set-up'!$G$11/12, 2), "0.00")&amp;" years"&amp;")"</f>
        <v>(4.08 years)</v>
      </c>
      <c r="BH27" s="810"/>
    </row>
    <row r="28" spans="2:60" ht="15.3">
      <c r="B28" s="832"/>
      <c r="C28" s="833"/>
      <c r="K28" s="800"/>
      <c r="L28" s="802"/>
      <c r="M28" s="802"/>
      <c r="N28" s="802"/>
      <c r="AF28" s="394" t="s">
        <v>27</v>
      </c>
      <c r="AG28" s="396">
        <f>V8</f>
        <v>2</v>
      </c>
      <c r="AH28" s="396">
        <f>AA8</f>
        <v>2</v>
      </c>
      <c r="AI28" s="397">
        <f t="shared" si="27"/>
        <v>0</v>
      </c>
      <c r="AK28" s="803" t="s">
        <v>154</v>
      </c>
      <c r="AL28" s="807" t="s">
        <v>16</v>
      </c>
      <c r="AM28" s="807" t="s">
        <v>17</v>
      </c>
      <c r="AN28" s="809" t="s">
        <v>25</v>
      </c>
      <c r="AP28" s="394" t="s">
        <v>27</v>
      </c>
      <c r="AQ28" s="396">
        <f>Y8</f>
        <v>2</v>
      </c>
      <c r="AR28" s="396">
        <f>AD8</f>
        <v>2</v>
      </c>
      <c r="AS28" s="397">
        <f t="shared" si="28"/>
        <v>0</v>
      </c>
      <c r="AU28" s="394" t="s">
        <v>114</v>
      </c>
      <c r="AV28" s="412">
        <f>V4</f>
        <v>0</v>
      </c>
      <c r="AW28" s="412">
        <f>AA4</f>
        <v>0</v>
      </c>
      <c r="AX28" s="398" t="s">
        <v>343</v>
      </c>
      <c r="AZ28" s="394" t="s">
        <v>116</v>
      </c>
      <c r="BA28" s="396">
        <f>U6</f>
        <v>0</v>
      </c>
      <c r="BB28" s="396">
        <f>Z6</f>
        <v>2</v>
      </c>
      <c r="BC28" s="398" t="s">
        <v>343</v>
      </c>
      <c r="BE28" s="394" t="s">
        <v>114</v>
      </c>
      <c r="BF28" s="396">
        <f>Y4</f>
        <v>0</v>
      </c>
      <c r="BG28" s="396">
        <f>AD4</f>
        <v>0</v>
      </c>
      <c r="BH28" s="398" t="s">
        <v>343</v>
      </c>
    </row>
    <row r="29" spans="2:60" ht="15.6" thickBot="1">
      <c r="B29" s="835"/>
      <c r="C29" s="834"/>
      <c r="K29" s="367" t="s">
        <v>149</v>
      </c>
      <c r="L29" s="381" t="str">
        <f>ROUND(Assumptions!H6,2)&amp; " years"</f>
        <v>5 years</v>
      </c>
      <c r="M29" s="381" t="str">
        <f>TEXT(ROUND('Evaluation Set-up'!$F$9+'Evaluation Set-up'!$G$9/12, 2), "0.00")&amp;" years"</f>
        <v>4.08 years</v>
      </c>
      <c r="N29" s="381" t="str">
        <f>TEXT(ROUND('Evaluation Set-up'!$F$11+'Evaluation Set-up'!$G$11/12, 2), "0.00")&amp;" years"</f>
        <v>4.08 years</v>
      </c>
      <c r="AK29" s="804"/>
      <c r="AL29" s="808"/>
      <c r="AM29" s="808"/>
      <c r="AN29" s="810"/>
      <c r="AU29" s="394" t="s">
        <v>115</v>
      </c>
      <c r="AV29" s="396">
        <f>V5</f>
        <v>0</v>
      </c>
      <c r="AW29" s="396">
        <f>AA5</f>
        <v>0</v>
      </c>
      <c r="AX29" s="398" t="s">
        <v>343</v>
      </c>
      <c r="AZ29" s="394" t="s">
        <v>26</v>
      </c>
      <c r="BA29" s="396">
        <f>U7</f>
        <v>5</v>
      </c>
      <c r="BB29" s="396">
        <f>Z7</f>
        <v>7</v>
      </c>
      <c r="BC29" s="398" t="s">
        <v>343</v>
      </c>
      <c r="BE29" s="394" t="s">
        <v>115</v>
      </c>
      <c r="BF29" s="396">
        <f>Y5</f>
        <v>0</v>
      </c>
      <c r="BG29" s="396">
        <f>AD5</f>
        <v>0</v>
      </c>
      <c r="BH29" s="398" t="s">
        <v>343</v>
      </c>
    </row>
    <row r="30" spans="2:60" ht="15.3">
      <c r="K30" s="367" t="s">
        <v>142</v>
      </c>
      <c r="L30" s="380">
        <f>Assumptions!H7</f>
        <v>40544</v>
      </c>
      <c r="M30" s="380">
        <f>'Evaluation Set-up'!D9</f>
        <v>42826</v>
      </c>
      <c r="N30" s="380">
        <f>'Evaluation Set-up'!D11</f>
        <v>44774</v>
      </c>
      <c r="AK30" s="394" t="s">
        <v>114</v>
      </c>
      <c r="AL30" s="396">
        <f>Y4</f>
        <v>0</v>
      </c>
      <c r="AM30" s="396">
        <f>AD4</f>
        <v>0</v>
      </c>
      <c r="AN30" s="397" t="str">
        <f t="shared" ref="AN30:AN34" si="31">IFERROR(IF(((AM30-AL30)/AL30)&gt;1,"100+%",((AM30-AL30)/AL30)), "n/a")</f>
        <v>n/a</v>
      </c>
      <c r="AU30" s="394" t="s">
        <v>116</v>
      </c>
      <c r="AV30" s="396">
        <f>V6</f>
        <v>0</v>
      </c>
      <c r="AW30" s="396">
        <f>AA6</f>
        <v>0</v>
      </c>
      <c r="AX30" s="398" t="s">
        <v>343</v>
      </c>
      <c r="AZ30" s="394" t="s">
        <v>27</v>
      </c>
      <c r="BA30" s="396">
        <f>U8</f>
        <v>15</v>
      </c>
      <c r="BB30" s="396">
        <f>Z8</f>
        <v>26</v>
      </c>
      <c r="BC30" s="398" t="s">
        <v>343</v>
      </c>
      <c r="BE30" s="394" t="s">
        <v>116</v>
      </c>
      <c r="BF30" s="396">
        <f>Y6</f>
        <v>0</v>
      </c>
      <c r="BG30" s="396">
        <f>AD6</f>
        <v>0</v>
      </c>
      <c r="BH30" s="398" t="s">
        <v>343</v>
      </c>
    </row>
    <row r="31" spans="2:60" ht="15.3">
      <c r="K31" s="367" t="s">
        <v>143</v>
      </c>
      <c r="L31" s="380">
        <f>Assumptions!H8</f>
        <v>42369</v>
      </c>
      <c r="M31" s="380">
        <f>'Evaluation Set-up'!E9</f>
        <v>44316</v>
      </c>
      <c r="N31" s="380">
        <f>'Evaluation Set-up'!E11</f>
        <v>46265</v>
      </c>
      <c r="AK31" s="394" t="s">
        <v>115</v>
      </c>
      <c r="AL31" s="396">
        <f>Y5</f>
        <v>0</v>
      </c>
      <c r="AM31" s="396">
        <f>AD5</f>
        <v>0</v>
      </c>
      <c r="AN31" s="397" t="str">
        <f t="shared" si="31"/>
        <v>n/a</v>
      </c>
      <c r="AU31" s="394" t="s">
        <v>26</v>
      </c>
      <c r="AV31" s="396">
        <f>V7</f>
        <v>2</v>
      </c>
      <c r="AW31" s="396">
        <f>AA7</f>
        <v>3</v>
      </c>
      <c r="AX31" s="398" t="s">
        <v>343</v>
      </c>
      <c r="AZ31" s="401"/>
      <c r="BA31" s="402"/>
      <c r="BB31" s="402"/>
      <c r="BC31" s="402"/>
      <c r="BE31" s="394" t="s">
        <v>26</v>
      </c>
      <c r="BF31" s="396">
        <f>Y7</f>
        <v>2</v>
      </c>
      <c r="BG31" s="396">
        <f>AD7</f>
        <v>3</v>
      </c>
      <c r="BH31" s="398" t="s">
        <v>343</v>
      </c>
    </row>
    <row r="32" spans="2:60" ht="15.3">
      <c r="K32" s="368"/>
      <c r="L32" s="382"/>
      <c r="M32" s="383"/>
      <c r="N32" s="383"/>
      <c r="AK32" s="394" t="s">
        <v>116</v>
      </c>
      <c r="AL32" s="396">
        <f>Y6</f>
        <v>0</v>
      </c>
      <c r="AM32" s="396">
        <f>AD6</f>
        <v>0</v>
      </c>
      <c r="AN32" s="397" t="str">
        <f t="shared" si="31"/>
        <v>n/a</v>
      </c>
      <c r="AU32" s="394" t="s">
        <v>27</v>
      </c>
      <c r="AV32" s="396">
        <f>V8</f>
        <v>2</v>
      </c>
      <c r="AW32" s="396">
        <f>AA8</f>
        <v>2</v>
      </c>
      <c r="AX32" s="398" t="s">
        <v>343</v>
      </c>
      <c r="AZ32" s="406" t="s">
        <v>342</v>
      </c>
      <c r="BA32" s="428">
        <f>ROUND(SUM(BA26:BA29)/('Evaluation Set-up'!$F$9+'Evaluation Set-up'!$G$9/12),2)</f>
        <v>1.22</v>
      </c>
      <c r="BB32" s="428">
        <f>ROUND(SUM(BB26:BB29)/('Evaluation Set-up'!$F$11+'Evaluation Set-up'!$G$11/12),2)</f>
        <v>2.2</v>
      </c>
      <c r="BC32" s="408">
        <f t="shared" ref="BC32" si="32">IFERROR(IF(((BB32-BA32)/BA32)&gt;1,"100+%",((BB32-BA32)/BA32)), "n/a")</f>
        <v>0.80327868852459</v>
      </c>
      <c r="BE32" s="394" t="s">
        <v>27</v>
      </c>
      <c r="BF32" s="396">
        <f>Y8</f>
        <v>2</v>
      </c>
      <c r="BG32" s="396">
        <f>AD8</f>
        <v>2</v>
      </c>
      <c r="BH32" s="398" t="s">
        <v>343</v>
      </c>
    </row>
    <row r="33" spans="2:60">
      <c r="K33" s="369" t="s">
        <v>13</v>
      </c>
      <c r="L33" s="384">
        <f>Assumptions!I10</f>
        <v>7</v>
      </c>
      <c r="M33" s="384">
        <f>U9/('Evaluation Set-up'!$F$9+'Evaluation Set-up'!$G$9/12)</f>
        <v>4.89795918367347</v>
      </c>
      <c r="N33" s="384">
        <f>Z9/('Evaluation Set-up'!$F$9+'Evaluation Set-up'!$G$9/12)</f>
        <v>8.57142857142857</v>
      </c>
      <c r="AK33" s="394" t="s">
        <v>26</v>
      </c>
      <c r="AL33" s="396">
        <f>Y7</f>
        <v>2</v>
      </c>
      <c r="AM33" s="396">
        <f>AD7</f>
        <v>3</v>
      </c>
      <c r="AN33" s="397">
        <f t="shared" si="31"/>
        <v>0.5</v>
      </c>
      <c r="AU33" s="401"/>
      <c r="AV33" s="402"/>
      <c r="AW33" s="402"/>
      <c r="AX33" s="402"/>
      <c r="AZ33" s="418"/>
      <c r="BA33" s="429"/>
      <c r="BB33" s="429"/>
      <c r="BC33" s="420"/>
      <c r="BE33" s="401"/>
      <c r="BF33" s="402"/>
      <c r="BG33" s="402"/>
      <c r="BH33" s="402"/>
    </row>
    <row r="34" spans="2:60">
      <c r="K34" s="353" t="s">
        <v>150</v>
      </c>
      <c r="L34" s="384">
        <f>Assumptions!I11</f>
        <v>0</v>
      </c>
      <c r="M34" s="384">
        <f>U4/('Evaluation Set-up'!$F$9+'Evaluation Set-up'!$G$9/12)</f>
        <v>0</v>
      </c>
      <c r="N34" s="384">
        <f>Z4/('Evaluation Set-up'!$F$9+'Evaluation Set-up'!$G$9/12)</f>
        <v>0</v>
      </c>
      <c r="AK34" s="394" t="s">
        <v>27</v>
      </c>
      <c r="AL34" s="396">
        <f>Y8</f>
        <v>2</v>
      </c>
      <c r="AM34" s="396">
        <f>AD8</f>
        <v>2</v>
      </c>
      <c r="AN34" s="397">
        <f t="shared" si="31"/>
        <v>0</v>
      </c>
      <c r="AU34" s="406" t="s">
        <v>344</v>
      </c>
      <c r="AV34" s="428">
        <f>ROUND(SUM(AV28:AV31)/('Evaluation Set-up'!$F$9+'Evaluation Set-up'!$G$9/12),2)</f>
        <v>0.49</v>
      </c>
      <c r="AW34" s="428">
        <f>ROUND(SUM(AW28:AW31)/('Evaluation Set-up'!$F$11+'Evaluation Set-up'!$G$11/12),2)</f>
        <v>0.73</v>
      </c>
      <c r="AX34" s="408">
        <f t="shared" ref="AX34" si="33">IFERROR(IF(((AW34-AV34)/AV34)&gt;1,"100+%",((AW34-AV34)/AV34)), "n/a")</f>
        <v>0.489795918367347</v>
      </c>
      <c r="AZ34" s="803" t="s">
        <v>154</v>
      </c>
      <c r="BA34" s="392" t="s">
        <v>16</v>
      </c>
      <c r="BB34" s="392" t="s">
        <v>17</v>
      </c>
      <c r="BC34" s="809" t="s">
        <v>25</v>
      </c>
      <c r="BE34" s="406" t="s">
        <v>346</v>
      </c>
      <c r="BF34" s="428">
        <f>ROUND(SUM(BF28:BF31)/('Evaluation Set-up'!$F$9+'Evaluation Set-up'!$G$9/12),2)</f>
        <v>0.49</v>
      </c>
      <c r="BG34" s="428">
        <f>ROUND(SUM(BG28:BG31)/('Evaluation Set-up'!$F$11+'Evaluation Set-up'!$G$11/12),2)</f>
        <v>0.73</v>
      </c>
      <c r="BH34" s="408">
        <f t="shared" ref="BH34" si="34">IFERROR(IF(((BG34-BF34)/BF34)&gt;1,"100+%",((BG34-BF34)/BF34)), "n/a")</f>
        <v>0.489795918367347</v>
      </c>
    </row>
    <row r="35" spans="2:60">
      <c r="K35" s="353" t="s">
        <v>151</v>
      </c>
      <c r="L35" s="384">
        <f>Assumptions!I12</f>
        <v>0</v>
      </c>
      <c r="M35" s="384">
        <f>U5/('Evaluation Set-up'!$F$9+'Evaluation Set-up'!$G$9/12)</f>
        <v>0</v>
      </c>
      <c r="N35" s="384">
        <f>Z5/('Evaluation Set-up'!$F$9+'Evaluation Set-up'!$G$9/12)</f>
        <v>0</v>
      </c>
      <c r="AZ35" s="804"/>
      <c r="BA35" s="393" t="str">
        <f>"("&amp;TEXT(ROUND('Evaluation Set-up'!$F$9+'Evaluation Set-up'!$G$9/12, 2), "0.00")&amp;" years"&amp;")"</f>
        <v>(4.08 years)</v>
      </c>
      <c r="BB35" s="393" t="str">
        <f>"("&amp;TEXT(ROUND('Evaluation Set-up'!$F$11+'Evaluation Set-up'!$G$11/12, 2), "0.00")&amp;" years"&amp;")"</f>
        <v>(4.08 years)</v>
      </c>
      <c r="BC35" s="810"/>
    </row>
    <row r="36" spans="2:60" ht="15.3">
      <c r="B36" s="370"/>
      <c r="C36" s="97"/>
      <c r="K36" s="353" t="s">
        <v>152</v>
      </c>
      <c r="L36" s="384">
        <f>Assumptions!I13</f>
        <v>0.4</v>
      </c>
      <c r="M36" s="384">
        <f>U6/('Evaluation Set-up'!$F$9+'Evaluation Set-up'!$G$9/12)</f>
        <v>0</v>
      </c>
      <c r="N36" s="384">
        <f>Z6/('Evaluation Set-up'!$F$9+'Evaluation Set-up'!$G$9/12)</f>
        <v>0.489795918367347</v>
      </c>
      <c r="AZ36" s="394" t="s">
        <v>114</v>
      </c>
      <c r="BA36" s="396">
        <f>Y4</f>
        <v>0</v>
      </c>
      <c r="BB36" s="396">
        <f>AD4</f>
        <v>0</v>
      </c>
      <c r="BC36" s="398" t="s">
        <v>343</v>
      </c>
    </row>
    <row r="37" spans="2:60" ht="15.3">
      <c r="B37" s="370"/>
      <c r="C37" s="97"/>
      <c r="K37" s="353" t="s">
        <v>153</v>
      </c>
      <c r="L37" s="384">
        <f>Assumptions!I14</f>
        <v>1.4</v>
      </c>
      <c r="M37" s="384">
        <f>U7/('Evaluation Set-up'!$F$9+'Evaluation Set-up'!$G$9/12)</f>
        <v>1.22448979591837</v>
      </c>
      <c r="N37" s="384">
        <f>Z7/('Evaluation Set-up'!$F$9+'Evaluation Set-up'!$G$9/12)</f>
        <v>1.71428571428571</v>
      </c>
      <c r="AZ37" s="394" t="s">
        <v>115</v>
      </c>
      <c r="BA37" s="396">
        <f>Y5</f>
        <v>0</v>
      </c>
      <c r="BB37" s="396">
        <f>AD5</f>
        <v>0</v>
      </c>
      <c r="BC37" s="398" t="s">
        <v>343</v>
      </c>
    </row>
    <row r="38" spans="2:60" ht="15.3">
      <c r="B38" s="370"/>
      <c r="C38" s="97"/>
      <c r="K38" s="353" t="s">
        <v>27</v>
      </c>
      <c r="L38" s="384">
        <f>Assumptions!I15</f>
        <v>5.2</v>
      </c>
      <c r="M38" s="384">
        <f>U8/('Evaluation Set-up'!$F$9+'Evaluation Set-up'!$G$9/12)</f>
        <v>3.6734693877551</v>
      </c>
      <c r="N38" s="384">
        <f>Z8/('Evaluation Set-up'!$F$9+'Evaluation Set-up'!$G$9/12)</f>
        <v>6.36734693877551</v>
      </c>
      <c r="AZ38" s="394" t="s">
        <v>116</v>
      </c>
      <c r="BA38" s="396">
        <f>Y6</f>
        <v>0</v>
      </c>
      <c r="BB38" s="396">
        <f>AD6</f>
        <v>0</v>
      </c>
      <c r="BC38" s="398" t="s">
        <v>343</v>
      </c>
    </row>
    <row r="39" spans="2:60" ht="15.3">
      <c r="AZ39" s="394" t="s">
        <v>26</v>
      </c>
      <c r="BA39" s="396">
        <f>Y7</f>
        <v>2</v>
      </c>
      <c r="BB39" s="396">
        <f>AD7</f>
        <v>3</v>
      </c>
      <c r="BC39" s="398" t="s">
        <v>343</v>
      </c>
    </row>
    <row r="40" spans="2:60" ht="15.3">
      <c r="AZ40" s="394" t="s">
        <v>27</v>
      </c>
      <c r="BA40" s="396">
        <f>Y8</f>
        <v>2</v>
      </c>
      <c r="BB40" s="396">
        <f>AD8</f>
        <v>2</v>
      </c>
      <c r="BC40" s="398" t="s">
        <v>343</v>
      </c>
    </row>
    <row r="41" spans="2:60">
      <c r="AZ41" s="401"/>
      <c r="BA41" s="402"/>
      <c r="BB41" s="402"/>
      <c r="BC41" s="402"/>
    </row>
    <row r="42" spans="2:60">
      <c r="AZ42" s="406" t="s">
        <v>346</v>
      </c>
      <c r="BA42" s="428">
        <f>ROUND(SUM(BA36:BA39)/('Evaluation Set-up'!$F$9+'Evaluation Set-up'!$G$9/12),2)</f>
        <v>0.49</v>
      </c>
      <c r="BB42" s="428">
        <f>ROUND(SUM(BB36:BB39)/('Evaluation Set-up'!$F$11+'Evaluation Set-up'!$G$11/12),2)</f>
        <v>0.73</v>
      </c>
      <c r="BC42" s="408">
        <f t="shared" ref="BC42" si="35">IFERROR(IF(((BB42-BA42)/BA42)&gt;1,"100+%",((BB42-BA42)/BA42)), "n/a")</f>
        <v>0.489795918367347</v>
      </c>
    </row>
    <row r="44" spans="2:60" ht="15" customHeight="1"/>
    <row r="54" ht="15" customHeight="1"/>
    <row r="62" ht="15" customHeight="1"/>
  </sheetData>
  <sheetProtection formatColumns="0" formatRows="0"/>
  <mergeCells count="88">
    <mergeCell ref="C26:C29"/>
    <mergeCell ref="B26:B29"/>
    <mergeCell ref="B15:B17"/>
    <mergeCell ref="C21:C22"/>
    <mergeCell ref="C23:C25"/>
    <mergeCell ref="B21:B22"/>
    <mergeCell ref="B23:B25"/>
    <mergeCell ref="B2:C2"/>
    <mergeCell ref="C19:C20"/>
    <mergeCell ref="B7:B8"/>
    <mergeCell ref="B9:B11"/>
    <mergeCell ref="B12:B14"/>
    <mergeCell ref="B19:B20"/>
    <mergeCell ref="C9:C11"/>
    <mergeCell ref="C12:C14"/>
    <mergeCell ref="C4:C6"/>
    <mergeCell ref="B4:B6"/>
    <mergeCell ref="C15:C17"/>
    <mergeCell ref="E13:F13"/>
    <mergeCell ref="E14:F14"/>
    <mergeCell ref="E15:F15"/>
    <mergeCell ref="C7:C8"/>
    <mergeCell ref="N13:N14"/>
    <mergeCell ref="K13:K14"/>
    <mergeCell ref="K3:K4"/>
    <mergeCell ref="L3:L4"/>
    <mergeCell ref="M3:M4"/>
    <mergeCell ref="N3:N4"/>
    <mergeCell ref="AZ34:AZ35"/>
    <mergeCell ref="AU26:AU27"/>
    <mergeCell ref="AP4:AP5"/>
    <mergeCell ref="AQ4:AQ5"/>
    <mergeCell ref="AR4:AR5"/>
    <mergeCell ref="AS4:AS5"/>
    <mergeCell ref="AP14:AP15"/>
    <mergeCell ref="AQ14:AQ15"/>
    <mergeCell ref="AR14:AR15"/>
    <mergeCell ref="AS14:AS15"/>
    <mergeCell ref="AP22:AP23"/>
    <mergeCell ref="AQ22:AQ23"/>
    <mergeCell ref="BC34:BC35"/>
    <mergeCell ref="AX26:AX27"/>
    <mergeCell ref="BE26:BE27"/>
    <mergeCell ref="BH26:BH27"/>
    <mergeCell ref="BH16:BH17"/>
    <mergeCell ref="AZ24:AZ25"/>
    <mergeCell ref="BC24:BC25"/>
    <mergeCell ref="BE4:BE5"/>
    <mergeCell ref="BH4:BH5"/>
    <mergeCell ref="AX16:AX17"/>
    <mergeCell ref="BE16:BE17"/>
    <mergeCell ref="AX4:AX5"/>
    <mergeCell ref="AZ4:AZ5"/>
    <mergeCell ref="BC4:BC5"/>
    <mergeCell ref="AR22:AR23"/>
    <mergeCell ref="AS22:AS23"/>
    <mergeCell ref="AU4:AU5"/>
    <mergeCell ref="AU16:AU17"/>
    <mergeCell ref="AI4:AI5"/>
    <mergeCell ref="AN4:AN5"/>
    <mergeCell ref="AK20:AK21"/>
    <mergeCell ref="AL20:AL21"/>
    <mergeCell ref="AM20:AM21"/>
    <mergeCell ref="AN20:AN21"/>
    <mergeCell ref="AK4:AK5"/>
    <mergeCell ref="AL4:AL5"/>
    <mergeCell ref="AM4:AM5"/>
    <mergeCell ref="AK28:AK29"/>
    <mergeCell ref="AL28:AL29"/>
    <mergeCell ref="AM28:AM29"/>
    <mergeCell ref="AN28:AN29"/>
    <mergeCell ref="AI22:AI23"/>
    <mergeCell ref="U2:Y2"/>
    <mergeCell ref="Z2:AD2"/>
    <mergeCell ref="AF4:AF5"/>
    <mergeCell ref="AG4:AG5"/>
    <mergeCell ref="AH4:AH5"/>
    <mergeCell ref="AF14:AF15"/>
    <mergeCell ref="AG14:AG15"/>
    <mergeCell ref="AH14:AH15"/>
    <mergeCell ref="AI14:AI15"/>
    <mergeCell ref="AG22:AG23"/>
    <mergeCell ref="AH22:AH23"/>
    <mergeCell ref="K27:K28"/>
    <mergeCell ref="L27:L28"/>
    <mergeCell ref="M27:M28"/>
    <mergeCell ref="N27:N28"/>
    <mergeCell ref="AF22:AF23"/>
  </mergeCells>
  <conditionalFormatting sqref="L29:L31">
    <cfRule type="containsBlanks" dxfId="21" priority="2">
      <formula>LEN(TRIM(L29))=0</formula>
    </cfRule>
  </conditionalFormatting>
  <conditionalFormatting sqref="L33:L38">
    <cfRule type="containsBlanks" dxfId="20" priority="1">
      <formula>LEN(TRIM(L33))=0</formula>
    </cfRule>
  </conditionalFormatting>
  <dataValidations count="1">
    <dataValidation type="list" errorStyle="information" allowBlank="1" showInputMessage="1" showErrorMessage="1" errorTitle="Trends pick" error="Not a Trends line item; the counts will stay blank." sqref="J5:J10" xr:uid="{2095E604-6D62-4F90-9CFD-89FFA4742AE2}">
      <formula1>TrendsMetricList</formula1>
    </dataValidation>
  </dataValidations>
  <hyperlinks>
    <hyperlink ref="I26" r:id="rId1" xr:uid="{1E3AA406-4D9F-4650-ADB1-D203C36E340F}"/>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7409" r:id="rId5" name="Button 1">
              <controlPr defaultSize="0" print="0" autoFill="0" autoPict="0" macro="[0]!S4_Equal.S4_Equal">
                <anchor moveWithCells="1">
                  <from>
                    <xdr:col>4</xdr:col>
                    <xdr:colOff>125730</xdr:colOff>
                    <xdr:row>16</xdr:row>
                    <xdr:rowOff>68580</xdr:rowOff>
                  </from>
                  <to>
                    <xdr:col>5</xdr:col>
                    <xdr:colOff>1314450</xdr:colOff>
                    <xdr:row>19</xdr:row>
                    <xdr:rowOff>163830</xdr:rowOff>
                  </to>
                </anchor>
              </controlPr>
            </control>
          </mc:Choice>
        </mc:AlternateContent>
        <mc:AlternateContent xmlns:mc="http://schemas.openxmlformats.org/markup-compatibility/2006">
          <mc:Choice Requires="x14">
            <control shapeId="17410" r:id="rId6" name="Button 2">
              <controlPr defaultSize="0" print="0" autoFill="0" autoPict="0" macro="[0]!S4_Unequal.S4_Unequal">
                <anchor moveWithCells="1">
                  <from>
                    <xdr:col>4</xdr:col>
                    <xdr:colOff>95250</xdr:colOff>
                    <xdr:row>20</xdr:row>
                    <xdr:rowOff>163830</xdr:rowOff>
                  </from>
                  <to>
                    <xdr:col>5</xdr:col>
                    <xdr:colOff>1287780</xdr:colOff>
                    <xdr:row>24</xdr:row>
                    <xdr:rowOff>152400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867809-F558-487E-A7EF-3E2F3FD328F8}">
  <sheetPr codeName="Sheet15"/>
  <dimension ref="A1:BB139"/>
  <sheetViews>
    <sheetView workbookViewId="0">
      <selection activeCell="G11" sqref="G11"/>
    </sheetView>
  </sheetViews>
  <sheetFormatPr defaultRowHeight="14.4"/>
  <cols>
    <col min="1" max="1" width="7.734375" customWidth="1"/>
    <col min="2" max="2" width="11.26171875" customWidth="1"/>
    <col min="3" max="3" width="11" customWidth="1"/>
    <col min="4" max="5" width="9.734375" customWidth="1"/>
    <col min="6" max="6" width="9.5234375" customWidth="1"/>
    <col min="7" max="7" width="14.15625" style="1" customWidth="1"/>
    <col min="8" max="8" width="14.26171875" style="1" customWidth="1"/>
    <col min="9" max="9" width="9.7890625" style="1" customWidth="1"/>
    <col min="10" max="10" width="9" style="1" customWidth="1"/>
    <col min="11" max="11" width="9" customWidth="1"/>
    <col min="12" max="14" width="8" customWidth="1"/>
    <col min="15" max="17" width="7.15625" customWidth="1"/>
    <col min="18" max="18" width="10.47265625" customWidth="1"/>
    <col min="19" max="54" width="7.7890625" customWidth="1"/>
    <col min="55" max="102" width="9.734375" customWidth="1"/>
  </cols>
  <sheetData>
    <row r="1" spans="1:54" s="72" customFormat="1" ht="20.399999999999999">
      <c r="B1" s="72" t="s">
        <v>236</v>
      </c>
      <c r="G1" s="73"/>
      <c r="H1" s="73"/>
      <c r="I1" s="73"/>
      <c r="J1" s="73"/>
    </row>
    <row r="3" spans="1:54">
      <c r="Q3" s="1"/>
      <c r="R3" s="1"/>
      <c r="S3" s="811" t="s">
        <v>202</v>
      </c>
      <c r="T3" s="812"/>
      <c r="U3" s="812"/>
      <c r="V3" s="812"/>
      <c r="W3" s="812"/>
      <c r="X3" s="813"/>
      <c r="Y3" s="811" t="s">
        <v>203</v>
      </c>
      <c r="Z3" s="812"/>
      <c r="AA3" s="812"/>
      <c r="AB3" s="812"/>
      <c r="AC3" s="812"/>
      <c r="AD3" s="813"/>
      <c r="AE3" s="811" t="s">
        <v>204</v>
      </c>
      <c r="AF3" s="812"/>
      <c r="AG3" s="812"/>
      <c r="AH3" s="812"/>
      <c r="AI3" s="812"/>
      <c r="AJ3" s="813"/>
      <c r="AK3" s="811" t="s">
        <v>205</v>
      </c>
      <c r="AL3" s="812"/>
      <c r="AM3" s="812"/>
      <c r="AN3" s="812"/>
      <c r="AO3" s="812"/>
      <c r="AP3" s="813"/>
      <c r="AQ3" s="811" t="s">
        <v>206</v>
      </c>
      <c r="AR3" s="812"/>
      <c r="AS3" s="812"/>
      <c r="AT3" s="812"/>
      <c r="AU3" s="812"/>
      <c r="AV3" s="813"/>
      <c r="AW3" s="811" t="s">
        <v>207</v>
      </c>
      <c r="AX3" s="812"/>
      <c r="AY3" s="812"/>
      <c r="AZ3" s="812"/>
      <c r="BA3" s="812"/>
      <c r="BB3" s="813"/>
    </row>
    <row r="4" spans="1:54" s="46" customFormat="1" ht="43.2">
      <c r="B4" s="45" t="s">
        <v>185</v>
      </c>
      <c r="C4" s="45" t="s">
        <v>186</v>
      </c>
      <c r="D4" s="45" t="s">
        <v>187</v>
      </c>
      <c r="E4" s="45" t="s">
        <v>188</v>
      </c>
      <c r="F4" s="45" t="s">
        <v>189</v>
      </c>
      <c r="G4" s="45" t="s">
        <v>190</v>
      </c>
      <c r="H4" s="45" t="s">
        <v>191</v>
      </c>
      <c r="I4" s="45" t="s">
        <v>192</v>
      </c>
      <c r="J4" s="45" t="s">
        <v>193</v>
      </c>
      <c r="K4" s="45" t="s">
        <v>194</v>
      </c>
      <c r="L4" s="45" t="s">
        <v>195</v>
      </c>
      <c r="M4" s="45" t="s">
        <v>196</v>
      </c>
      <c r="N4" s="45" t="s">
        <v>197</v>
      </c>
      <c r="O4" s="45" t="s">
        <v>198</v>
      </c>
      <c r="P4" s="45" t="s">
        <v>199</v>
      </c>
      <c r="Q4" s="45" t="s">
        <v>200</v>
      </c>
      <c r="R4" s="52" t="s">
        <v>201</v>
      </c>
      <c r="S4" s="50" t="s">
        <v>19</v>
      </c>
      <c r="T4" s="50" t="s">
        <v>67</v>
      </c>
      <c r="U4" s="50" t="s">
        <v>39</v>
      </c>
      <c r="V4" s="50" t="s">
        <v>231</v>
      </c>
      <c r="W4" s="50" t="s">
        <v>68</v>
      </c>
      <c r="X4" s="50" t="s">
        <v>69</v>
      </c>
      <c r="Y4" s="50" t="s">
        <v>19</v>
      </c>
      <c r="Z4" s="50" t="s">
        <v>67</v>
      </c>
      <c r="AA4" s="50" t="s">
        <v>39</v>
      </c>
      <c r="AB4" s="50" t="s">
        <v>231</v>
      </c>
      <c r="AC4" s="50" t="s">
        <v>68</v>
      </c>
      <c r="AD4" s="50" t="s">
        <v>69</v>
      </c>
      <c r="AE4" s="50" t="s">
        <v>19</v>
      </c>
      <c r="AF4" s="50" t="s">
        <v>67</v>
      </c>
      <c r="AG4" s="50" t="s">
        <v>39</v>
      </c>
      <c r="AH4" s="50" t="s">
        <v>231</v>
      </c>
      <c r="AI4" s="50" t="s">
        <v>68</v>
      </c>
      <c r="AJ4" s="50" t="s">
        <v>69</v>
      </c>
      <c r="AK4" s="50" t="s">
        <v>19</v>
      </c>
      <c r="AL4" s="50" t="s">
        <v>67</v>
      </c>
      <c r="AM4" s="50" t="s">
        <v>39</v>
      </c>
      <c r="AN4" s="50" t="s">
        <v>231</v>
      </c>
      <c r="AO4" s="50" t="s">
        <v>68</v>
      </c>
      <c r="AP4" s="50" t="s">
        <v>69</v>
      </c>
      <c r="AQ4" s="50" t="s">
        <v>19</v>
      </c>
      <c r="AR4" s="50" t="s">
        <v>67</v>
      </c>
      <c r="AS4" s="50" t="s">
        <v>39</v>
      </c>
      <c r="AT4" s="50" t="s">
        <v>231</v>
      </c>
      <c r="AU4" s="50" t="s">
        <v>68</v>
      </c>
      <c r="AV4" s="50" t="s">
        <v>69</v>
      </c>
      <c r="AW4" s="50" t="s">
        <v>19</v>
      </c>
      <c r="AX4" s="50" t="s">
        <v>67</v>
      </c>
      <c r="AY4" s="50" t="s">
        <v>39</v>
      </c>
      <c r="AZ4" s="50" t="s">
        <v>231</v>
      </c>
      <c r="BA4" s="50" t="s">
        <v>68</v>
      </c>
      <c r="BB4" s="50" t="s">
        <v>69</v>
      </c>
    </row>
    <row r="5" spans="1:54">
      <c r="A5" s="33" t="s">
        <v>239</v>
      </c>
      <c r="B5" s="51" t="str">
        <f>'One Pager'!I4</f>
        <v>05-08-203 (TIP #W-5601HP)</v>
      </c>
      <c r="C5" s="51" t="str">
        <f>'One Pager'!I6</f>
        <v>SR 1375 (Lake Wheeler Road) at SR 1390 (Optimist Farm Road)/SR 1503 (Donnybrook Road)</v>
      </c>
      <c r="D5" s="51" t="str">
        <f>'One Pager'!I8</f>
        <v>Wake</v>
      </c>
      <c r="E5" s="51" t="str">
        <f>'One Pager'!I7</f>
        <v>35.657816, -78.717261</v>
      </c>
      <c r="F5" s="51">
        <f>'One Pager'!I13</f>
        <v>665000</v>
      </c>
      <c r="G5" s="51" t="str">
        <f>'One Pager'!I12</f>
        <v>Realign SR 1390 (Optimist Farm Road) and SR 1503 (Donnybrook Road) to tie directly across from one another and install shoulder-mounted actuated ("Vehicle Entering When Flashing") flashers in both directions on SR 1375 (Lake Wheeler Road)</v>
      </c>
      <c r="H5" s="34" t="str">
        <f>Assumptions!D15</f>
        <v>Intersection Realignment</v>
      </c>
      <c r="I5" s="34">
        <f>Assumptions!O6</f>
        <v>45</v>
      </c>
      <c r="J5" s="34">
        <f>Assumptions!O7</f>
        <v>35</v>
      </c>
      <c r="K5" s="34" t="str">
        <f>IF(YEAR('Evaluation Set-up'!$D$10) = YEAR('Evaluation Set-up'!$E$10), YEAR('Evaluation Set-up'!$D$10), YEAR('Evaluation Set-up'!$D$10)&amp;" - "&amp;YEAR('Evaluation Set-up'!$E$10))</f>
        <v>2021 - 2022</v>
      </c>
      <c r="L5" s="34">
        <f>IF(VLOOKUP(YEAR('Evaluation Set-up'!$D$10)-3,$J$13:$K$37,2,0)&lt;&gt;12,"",YEAR('Evaluation Set-up'!$D$10)-3)</f>
        <v>2018</v>
      </c>
      <c r="M5" s="34">
        <f>IF(VLOOKUP(YEAR('Evaluation Set-up'!$D$10)-2,$J$13:$K$37,2,0)&lt;&gt;12,"",YEAR('Evaluation Set-up'!$D$10)-2)</f>
        <v>2019</v>
      </c>
      <c r="N5" s="34">
        <f>IF(VLOOKUP(YEAR('Evaluation Set-up'!$D$10)-1,$J$13:$K$37,2,0)&lt;&gt;12,"",YEAR('Evaluation Set-up'!$D$10)-1)</f>
        <v>2020</v>
      </c>
      <c r="O5" s="34">
        <f>IF(VLOOKUP(YEAR('Evaluation Set-up'!$E$10)+1,$Y$13:$Z$37,2,0)&lt;&gt;12,"",YEAR('Evaluation Set-up'!$E$10)+1)</f>
        <v>2023</v>
      </c>
      <c r="P5" s="34">
        <f>IF(VLOOKUP(YEAR('Evaluation Set-up'!$E$10)+2,$Y$13:$Z$37,2,0)&lt;&gt;12,"",YEAR('Evaluation Set-up'!$E$10)+2)</f>
        <v>2024</v>
      </c>
      <c r="Q5" s="34">
        <f>IF(VLOOKUP(YEAR('Evaluation Set-up'!$E$10)+3,$Y$13:$Z$37,2,0)&lt;&gt;12,"",YEAR('Evaluation Set-up'!$E$10)+3)</f>
        <v>2025</v>
      </c>
      <c r="R5" s="434"/>
      <c r="S5" s="34">
        <f>IF(L5="","",VLOOKUP($L5,$B$12:$H$37,2,0))</f>
        <v>5</v>
      </c>
      <c r="T5" s="34">
        <f>IF(L5="","",VLOOKUP($L5,$B$12:$H$37,3,0))</f>
        <v>1</v>
      </c>
      <c r="U5" s="34">
        <f>IF(L5="","",VLOOKUP($L5,$B$12:$H$37,4,0))</f>
        <v>1</v>
      </c>
      <c r="V5" s="34">
        <f>IF(L5="","",VLOOKUP($L5,$B$12:$H$37,5,0))</f>
        <v>2</v>
      </c>
      <c r="W5" s="34">
        <f>IF(L5="","",VLOOKUP($L5,$B$12:$H$37,6,0))</f>
        <v>6700</v>
      </c>
      <c r="X5" s="34">
        <f>IF(L5="","",VLOOKUP($L5,$B$12:$H$37,7,0))</f>
        <v>4600</v>
      </c>
      <c r="Y5" s="34">
        <f>IF(M5="","",VLOOKUP($M5,$B$12:$H$37,2,0))</f>
        <v>2</v>
      </c>
      <c r="Z5" s="34">
        <f>IF(M5="","",VLOOKUP($M5,$B$12:$H$37,3,0))</f>
        <v>1</v>
      </c>
      <c r="AA5" s="34">
        <f>IF(M5="","",VLOOKUP($M5,$B$12:$H$37,4,0))</f>
        <v>1</v>
      </c>
      <c r="AB5" s="34">
        <f>IF(M5="","",VLOOKUP($M5,$B$12:$H$37,5,0))</f>
        <v>2</v>
      </c>
      <c r="AC5" s="34">
        <f>IF(M5="","",VLOOKUP($M5,$B$12:$H$37,6,0))</f>
        <v>7150</v>
      </c>
      <c r="AD5" s="34">
        <f>IF(M5="","",VLOOKUP($M5,$B$12:$H$37,7,0))</f>
        <v>4600</v>
      </c>
      <c r="AE5" s="34">
        <f>IF(N5="","",VLOOKUP($N5,$B$12:$H$37,2,0))</f>
        <v>4</v>
      </c>
      <c r="AF5" s="34">
        <f>IF(N5="","",VLOOKUP($N5,$B$12:$H$37,3,0))</f>
        <v>1</v>
      </c>
      <c r="AG5" s="34">
        <f>IF(N5="","",VLOOKUP($N5,$B$12:$H$37,4,0))</f>
        <v>1</v>
      </c>
      <c r="AH5" s="34">
        <f>IF(N5="","",VLOOKUP($N5,$B$12:$H$37,5,0))</f>
        <v>1</v>
      </c>
      <c r="AI5" s="34">
        <f>IF(N5="","",VLOOKUP($N5,$B$12:$H$37,6,0))</f>
        <v>6150</v>
      </c>
      <c r="AJ5" s="34">
        <f>IF(N5="","",VLOOKUP($N5,$B$12:$H$37,7,0))</f>
        <v>3850</v>
      </c>
      <c r="AK5" s="34">
        <f>IF(O5="","",VLOOKUP($O5,$B$12:$H$37,2,0))</f>
        <v>11</v>
      </c>
      <c r="AL5" s="34">
        <f>IF(O5="","",VLOOKUP($O5,$B$12:$H$37,3,0))</f>
        <v>7</v>
      </c>
      <c r="AM5" s="34">
        <f>IF(O5="","",VLOOKUP($O5,$B$12:$H$37,4,0))</f>
        <v>4</v>
      </c>
      <c r="AN5" s="34">
        <f>IF(O5="","",VLOOKUP($O5,$B$12:$H$37,5,0))</f>
        <v>4</v>
      </c>
      <c r="AO5" s="34">
        <f>IF(O5="","",VLOOKUP($O5,$B$12:$H$37,6,0))</f>
        <v>6900</v>
      </c>
      <c r="AP5" s="34">
        <f>IF(O5="","",VLOOKUP($O5,$B$12:$H$37,7,0))</f>
        <v>3400</v>
      </c>
      <c r="AQ5" s="34">
        <f>IF(P5="","",VLOOKUP($P5,$B$12:$H$37,2,0))</f>
        <v>8</v>
      </c>
      <c r="AR5" s="34">
        <f>IF(P5="","",VLOOKUP($P5,$B$12:$H$37,3,0))</f>
        <v>4</v>
      </c>
      <c r="AS5" s="34">
        <f>IF(P5="","",VLOOKUP($P5,$B$12:$H$37,4,0))</f>
        <v>3</v>
      </c>
      <c r="AT5" s="34">
        <f>IF(P5="","",VLOOKUP($P5,$B$12:$H$37,5,0))</f>
        <v>1</v>
      </c>
      <c r="AU5" s="34">
        <f>IF(P5="","",VLOOKUP($P5,$B$12:$H$37,6,0))</f>
        <v>7550</v>
      </c>
      <c r="AV5" s="34">
        <f>IF(P5="","",VLOOKUP($P5,$B$12:$H$37,7,0))</f>
        <v>3500</v>
      </c>
      <c r="AW5" s="34">
        <f>IF(Q5="","",VLOOKUP($Q5,$B$12:$H$37,2,0))</f>
        <v>5</v>
      </c>
      <c r="AX5" s="34">
        <f>IF(Q5="","",VLOOKUP($Q5,$B$12:$H$37,3,0))</f>
        <v>3</v>
      </c>
      <c r="AY5" s="34">
        <f>IF(Q5="","",VLOOKUP($Q5,$B$12:$H$37,4,0))</f>
        <v>2</v>
      </c>
      <c r="AZ5" s="34">
        <f>IF(Q5="","",VLOOKUP($Q5,$B$12:$H$37,5,0))</f>
        <v>1</v>
      </c>
      <c r="BA5" s="34">
        <f>IF(Q5="","",VLOOKUP($Q5,$B$12:$H$37,6,0))</f>
        <v>8150</v>
      </c>
      <c r="BB5" s="34">
        <f>IF(Q5="","",VLOOKUP($Q5,$B$12:$H$37,7,0))</f>
        <v>3600</v>
      </c>
    </row>
    <row r="6" spans="1:54">
      <c r="Q6" s="1"/>
      <c r="R6" s="1"/>
      <c r="S6" s="1"/>
    </row>
    <row r="7" spans="1:54">
      <c r="A7" t="s">
        <v>240</v>
      </c>
      <c r="Q7" s="1"/>
      <c r="R7" s="1"/>
      <c r="S7" s="1"/>
    </row>
    <row r="8" spans="1:54">
      <c r="Q8" s="1"/>
      <c r="R8" s="1"/>
      <c r="S8" s="1"/>
    </row>
    <row r="9" spans="1:54">
      <c r="Q9" s="1"/>
      <c r="R9" s="1"/>
      <c r="S9" s="1"/>
    </row>
    <row r="10" spans="1:54" ht="14.7" thickBot="1">
      <c r="J10"/>
      <c r="P10" s="1"/>
      <c r="Q10" s="1"/>
      <c r="R10" s="1"/>
    </row>
    <row r="11" spans="1:54" s="74" customFormat="1" ht="30" customHeight="1" thickBot="1">
      <c r="G11" s="48"/>
      <c r="H11" s="48"/>
      <c r="I11" s="48"/>
      <c r="J11" s="836" t="s">
        <v>234</v>
      </c>
      <c r="K11" s="838"/>
      <c r="L11" s="836" t="s">
        <v>230</v>
      </c>
      <c r="M11" s="837"/>
      <c r="N11" s="837"/>
      <c r="O11" s="837"/>
      <c r="P11" s="837"/>
      <c r="Q11" s="837"/>
      <c r="R11" s="837"/>
      <c r="S11" s="837"/>
      <c r="T11" s="837"/>
      <c r="U11" s="837"/>
      <c r="V11" s="837"/>
      <c r="W11" s="838"/>
      <c r="X11" s="48"/>
      <c r="Y11" s="836" t="s">
        <v>235</v>
      </c>
      <c r="Z11" s="838"/>
      <c r="AA11" s="836" t="s">
        <v>230</v>
      </c>
      <c r="AB11" s="837"/>
      <c r="AC11" s="837"/>
      <c r="AD11" s="837"/>
      <c r="AE11" s="837"/>
      <c r="AF11" s="837"/>
      <c r="AG11" s="837"/>
      <c r="AH11" s="837"/>
      <c r="AI11" s="837"/>
      <c r="AJ11" s="837"/>
      <c r="AK11" s="837"/>
      <c r="AL11" s="838"/>
    </row>
    <row r="12" spans="1:54" s="47" customFormat="1" ht="29.1" thickBot="1">
      <c r="B12" s="75" t="s">
        <v>31</v>
      </c>
      <c r="C12" s="56" t="s">
        <v>19</v>
      </c>
      <c r="D12" s="57" t="s">
        <v>67</v>
      </c>
      <c r="E12" s="57" t="s">
        <v>39</v>
      </c>
      <c r="F12" s="58" t="s">
        <v>231</v>
      </c>
      <c r="G12" s="56" t="s">
        <v>68</v>
      </c>
      <c r="H12" s="58" t="s">
        <v>69</v>
      </c>
      <c r="I12" s="46"/>
      <c r="J12" s="435" t="s">
        <v>241</v>
      </c>
      <c r="K12" s="436" t="s">
        <v>232</v>
      </c>
      <c r="L12" s="60">
        <v>1</v>
      </c>
      <c r="M12" s="61">
        <v>2</v>
      </c>
      <c r="N12" s="61">
        <v>3</v>
      </c>
      <c r="O12" s="61">
        <v>4</v>
      </c>
      <c r="P12" s="61">
        <v>5</v>
      </c>
      <c r="Q12" s="61">
        <v>6</v>
      </c>
      <c r="R12" s="61">
        <v>7</v>
      </c>
      <c r="S12" s="61">
        <v>8</v>
      </c>
      <c r="T12" s="61">
        <v>9</v>
      </c>
      <c r="U12" s="61">
        <v>10</v>
      </c>
      <c r="V12" s="61">
        <v>11</v>
      </c>
      <c r="W12" s="62">
        <v>12</v>
      </c>
      <c r="X12" s="46"/>
      <c r="Y12" s="43" t="s">
        <v>241</v>
      </c>
      <c r="Z12" s="44" t="s">
        <v>233</v>
      </c>
      <c r="AA12" s="61">
        <v>1</v>
      </c>
      <c r="AB12" s="61">
        <v>2</v>
      </c>
      <c r="AC12" s="61">
        <v>3</v>
      </c>
      <c r="AD12" s="61">
        <v>4</v>
      </c>
      <c r="AE12" s="61">
        <v>5</v>
      </c>
      <c r="AF12" s="61">
        <v>6</v>
      </c>
      <c r="AG12" s="61">
        <v>7</v>
      </c>
      <c r="AH12" s="61">
        <v>8</v>
      </c>
      <c r="AI12" s="61">
        <v>9</v>
      </c>
      <c r="AJ12" s="61">
        <v>10</v>
      </c>
      <c r="AK12" s="61">
        <v>11</v>
      </c>
      <c r="AL12" s="62">
        <v>12</v>
      </c>
    </row>
    <row r="13" spans="1:54">
      <c r="B13" s="76">
        <v>2010</v>
      </c>
      <c r="C13" s="78">
        <f>COUNTIF(Before!$Q:$Q,B13) + COUNTIF(After!$Q:$Q,B13)</f>
        <v>0</v>
      </c>
      <c r="D13" s="79">
        <f>COUNTIFS(Before!$C:$C,"&gt;=23",Before!$C:$C,"&lt;=27", Before!$Q:$Q,B13)+COUNTIFS(Before!$C:$C,"30", Before!$Q:$Q,B13) + COUNTIFS(After!$C:$C,"&gt;=23",After!$C:$C,"&lt;=27", After!$Q:$Q,B13)+COUNTIFS(After!$C:$C,"30", After!$Q:$Q,B13)</f>
        <v>0</v>
      </c>
      <c r="E13" s="79">
        <f>COUNTIFS(Before!$C:$C,"&gt;=21",Before!$C:$C,"&lt;=22", Before!$Q:$Q,B13) + COUNTIFS(After!$C:$C,"&gt;=21",After!$C:$C,"&lt;=22", After!$Q:$Q,B13)</f>
        <v>0</v>
      </c>
      <c r="F13" s="80">
        <f>COUNTIFS(Before!$Q:$Q,$B13, Before!$G:$G, "K") + COUNTIFS(Before!$Q:$Q,$B13, Before!$G:$G, "A") + COUNTIFS(Before!$Q:$Q,$B13, Before!$G:$G, "B") + COUNTIFS(Before!$Q:$Q,$B13, Before!$G:$G, "C")
+ COUNTIFS(After!$Q:$Q,$B13, After!$G:$G, "K") + COUNTIFS(After!$Q:$Q,$B13, After!$G:$G, "A") + COUNTIFS(After!$Q:$Q,$B13, After!$G:$G, "B") + COUNTIFS(After!$Q:$Q,$B13, After!$G:$G, "C")</f>
        <v>0</v>
      </c>
      <c r="G13" s="83" t="str">
        <f>VLOOKUP($B13, 'Evaluation Set-up'!$K$11:$R$35, 4, FALSE)</f>
        <v/>
      </c>
      <c r="H13" s="84" t="str">
        <f>VLOOKUP($B13, 'Evaluation Set-up'!$K$11:$R$35, 7, FALSE)</f>
        <v/>
      </c>
      <c r="J13" s="63">
        <v>2010</v>
      </c>
      <c r="K13" s="64">
        <f>COUNTIFS(L13:W13, "Before")</f>
        <v>0</v>
      </c>
      <c r="L13" s="68" t="str">
        <f>IF(OR(DATE($J13, L$12, 1) &lt; 'Evaluation Set-up'!$D$9, DATE($J13, L$12, 1) &gt;= 'Evaluation Set-up'!$E$9), "", "Before")</f>
        <v/>
      </c>
      <c r="M13" s="68" t="str">
        <f>IF(OR(DATE($J13, M$12, 1) &lt; 'Evaluation Set-up'!$D$9, DATE($J13, M$12, 1) &gt;= 'Evaluation Set-up'!$E$9), "", "Before")</f>
        <v/>
      </c>
      <c r="N13" s="68" t="str">
        <f>IF(OR(DATE($J13, N$12, 1) &lt; 'Evaluation Set-up'!$D$9, DATE($J13, N$12, 1) &gt;= 'Evaluation Set-up'!$E$9), "", "Before")</f>
        <v/>
      </c>
      <c r="O13" s="68" t="str">
        <f>IF(OR(DATE($J13, O$12, 1) &lt; 'Evaluation Set-up'!$D$9, DATE($J13, O$12, 1) &gt;= 'Evaluation Set-up'!$E$9), "", "Before")</f>
        <v/>
      </c>
      <c r="P13" s="68" t="str">
        <f>IF(OR(DATE($J13, P$12, 1) &lt; 'Evaluation Set-up'!$D$9, DATE($J13, P$12, 1) &gt;= 'Evaluation Set-up'!$E$9), "", "Before")</f>
        <v/>
      </c>
      <c r="Q13" s="68" t="str">
        <f>IF(OR(DATE($J13, Q$12, 1) &lt; 'Evaluation Set-up'!$D$9, DATE($J13, Q$12, 1) &gt;= 'Evaluation Set-up'!$E$9), "", "Before")</f>
        <v/>
      </c>
      <c r="R13" s="68" t="str">
        <f>IF(OR(DATE($J13, R$12, 1) &lt; 'Evaluation Set-up'!$D$9, DATE($J13, R$12, 1) &gt;= 'Evaluation Set-up'!$E$9), "", "Before")</f>
        <v/>
      </c>
      <c r="S13" s="68" t="str">
        <f>IF(OR(DATE($J13, S$12, 1) &lt; 'Evaluation Set-up'!$D$9, DATE($J13, S$12, 1) &gt;= 'Evaluation Set-up'!$E$9), "", "Before")</f>
        <v/>
      </c>
      <c r="T13" s="68" t="str">
        <f>IF(OR(DATE($J13, T$12, 1) &lt; 'Evaluation Set-up'!$D$9, DATE($J13, T$12, 1) &gt;= 'Evaluation Set-up'!$E$9), "", "Before")</f>
        <v/>
      </c>
      <c r="U13" s="68" t="str">
        <f>IF(OR(DATE($J13, U$12, 1) &lt; 'Evaluation Set-up'!$D$9, DATE($J13, U$12, 1) &gt;= 'Evaluation Set-up'!$E$9), "", "Before")</f>
        <v/>
      </c>
      <c r="V13" s="68" t="str">
        <f>IF(OR(DATE($J13, V$12, 1) &lt; 'Evaluation Set-up'!$D$9, DATE($J13, V$12, 1) &gt;= 'Evaluation Set-up'!$E$9), "", "Before")</f>
        <v/>
      </c>
      <c r="W13" s="69" t="str">
        <f>IF(OR(DATE($J13, W$12, 1) &lt; 'Evaluation Set-up'!$D$9, DATE($J13, W$12, 1) &gt;= 'Evaluation Set-up'!$E$9), "", "Before")</f>
        <v/>
      </c>
      <c r="X13" s="1"/>
      <c r="Y13" s="63">
        <v>2010</v>
      </c>
      <c r="Z13" s="64">
        <f>COUNTIFS(AA13:AL13, "After")</f>
        <v>0</v>
      </c>
      <c r="AA13" s="68" t="str">
        <f>IF(OR(DATE($Y13, L$12, 1) &lt; 'Evaluation Set-up'!$D$11, DATE($Y13, L$12, 1) &gt;= 'Evaluation Set-up'!$E$11), "", "After")</f>
        <v/>
      </c>
      <c r="AB13" s="68" t="str">
        <f>IF(OR(DATE($Y13, M$12, 1) &lt; 'Evaluation Set-up'!$D$11, DATE($Y13, M$12, 1) &gt;= 'Evaluation Set-up'!$E$11), "", "After")</f>
        <v/>
      </c>
      <c r="AC13" s="68" t="str">
        <f>IF(OR(DATE($Y13, N$12, 1) &lt; 'Evaluation Set-up'!$D$11, DATE($Y13, N$12, 1) &gt;= 'Evaluation Set-up'!$E$11), "", "After")</f>
        <v/>
      </c>
      <c r="AD13" s="68" t="str">
        <f>IF(OR(DATE($Y13, O$12, 1) &lt; 'Evaluation Set-up'!$D$11, DATE($Y13, O$12, 1) &gt;= 'Evaluation Set-up'!$E$11), "", "After")</f>
        <v/>
      </c>
      <c r="AE13" s="68" t="str">
        <f>IF(OR(DATE($Y13, P$12, 1) &lt; 'Evaluation Set-up'!$D$11, DATE($Y13, P$12, 1) &gt;= 'Evaluation Set-up'!$E$11), "", "After")</f>
        <v/>
      </c>
      <c r="AF13" s="68" t="str">
        <f>IF(OR(DATE($Y13, Q$12, 1) &lt; 'Evaluation Set-up'!$D$11, DATE($Y13, Q$12, 1) &gt;= 'Evaluation Set-up'!$E$11), "", "After")</f>
        <v/>
      </c>
      <c r="AG13" s="68" t="str">
        <f>IF(OR(DATE($Y13, R$12, 1) &lt; 'Evaluation Set-up'!$D$11, DATE($Y13, R$12, 1) &gt;= 'Evaluation Set-up'!$E$11), "", "After")</f>
        <v/>
      </c>
      <c r="AH13" s="68" t="str">
        <f>IF(OR(DATE($Y13, S$12, 1) &lt; 'Evaluation Set-up'!$D$11, DATE($Y13, S$12, 1) &gt;= 'Evaluation Set-up'!$E$11), "", "After")</f>
        <v/>
      </c>
      <c r="AI13" s="68" t="str">
        <f>IF(OR(DATE($Y13, T$12, 1) &lt; 'Evaluation Set-up'!$D$11, DATE($Y13, T$12, 1) &gt;= 'Evaluation Set-up'!$E$11), "", "After")</f>
        <v/>
      </c>
      <c r="AJ13" s="68" t="str">
        <f>IF(OR(DATE($Y13, U$12, 1) &lt; 'Evaluation Set-up'!$D$11, DATE($Y13, U$12, 1) &gt;= 'Evaluation Set-up'!$E$11), "", "After")</f>
        <v/>
      </c>
      <c r="AK13" s="68" t="str">
        <f>IF(OR(DATE($Y13, V$12, 1) &lt; 'Evaluation Set-up'!$D$11, DATE($Y13, V$12, 1) &gt;= 'Evaluation Set-up'!$E$11), "", "After")</f>
        <v/>
      </c>
      <c r="AL13" s="69" t="str">
        <f>IF(OR(DATE($Y13, W$12, 1) &lt; 'Evaluation Set-up'!$D$11, DATE($Y13, W$12, 1) &gt;= 'Evaluation Set-up'!$E$11), "", "After")</f>
        <v/>
      </c>
    </row>
    <row r="14" spans="1:54">
      <c r="B14" s="77">
        <v>2011</v>
      </c>
      <c r="C14" s="81">
        <f>COUNTIF(Before!$Q:$Q,B14) + COUNTIF(After!$Q:$Q,B14)</f>
        <v>0</v>
      </c>
      <c r="D14" s="34">
        <f>COUNTIFS(Before!$C:$C,"&gt;=23",Before!$C:$C,"&lt;=27", Before!$Q:$Q,B14)+COUNTIFS(Before!$C:$C,"30", Before!$Q:$Q,B14) + COUNTIFS(After!$C:$C,"&gt;=23",After!$C:$C,"&lt;=27", After!$Q:$Q,B14)+COUNTIFS(After!$C:$C,"30", After!$Q:$Q,B14)</f>
        <v>0</v>
      </c>
      <c r="E14" s="34">
        <f>COUNTIFS(Before!$C:$C,"&gt;=21",Before!$C:$C,"&lt;=22", Before!$Q:$Q,B14) + COUNTIFS(After!$C:$C,"&gt;=21",After!$C:$C,"&lt;=22", After!$Q:$Q,B14)</f>
        <v>0</v>
      </c>
      <c r="F14" s="82">
        <f>COUNTIFS(Before!$Q:$Q,$B14, Before!$G:$G, "K") + COUNTIFS(Before!$Q:$Q,$B14, Before!$G:$G, "A") + COUNTIFS(Before!$Q:$Q,$B14, Before!$G:$G, "B") + COUNTIFS(Before!$Q:$Q,$B14, Before!$G:$G, "C")
+ COUNTIFS(After!$Q:$Q,$B14, After!$G:$G, "K") + COUNTIFS(After!$Q:$Q,$B14, After!$G:$G, "A") + COUNTIFS(After!$Q:$Q,$B14, After!$G:$G, "B") + COUNTIFS(After!$Q:$Q,$B14, After!$G:$G, "C")</f>
        <v>0</v>
      </c>
      <c r="G14" s="85" t="str">
        <f>VLOOKUP($B14, 'Evaluation Set-up'!$K$11:$R$35, 4, FALSE)</f>
        <v/>
      </c>
      <c r="H14" s="86" t="str">
        <f>VLOOKUP($B14, 'Evaluation Set-up'!$K$11:$R$35, 7, FALSE)</f>
        <v/>
      </c>
      <c r="J14" s="49">
        <v>2011</v>
      </c>
      <c r="K14" s="65">
        <f t="shared" ref="K14:K37" si="0">COUNTIFS(L14:W14, "Before")</f>
        <v>0</v>
      </c>
      <c r="L14" s="1" t="str">
        <f>IF(OR(DATE($J14, L$12, 1) &lt; 'Evaluation Set-up'!$D$9, DATE($J14, L$12, 1) &gt;= 'Evaluation Set-up'!$E$9), "", "Before")</f>
        <v/>
      </c>
      <c r="M14" s="1" t="str">
        <f>IF(OR(DATE($J14, M$12, 1) &lt; 'Evaluation Set-up'!$D$9, DATE($J14, M$12, 1) &gt;= 'Evaluation Set-up'!$E$9), "", "Before")</f>
        <v/>
      </c>
      <c r="N14" s="1" t="str">
        <f>IF(OR(DATE($J14, N$12, 1) &lt; 'Evaluation Set-up'!$D$9, DATE($J14, N$12, 1) &gt;= 'Evaluation Set-up'!$E$9), "", "Before")</f>
        <v/>
      </c>
      <c r="O14" s="1" t="str">
        <f>IF(OR(DATE($J14, O$12, 1) &lt; 'Evaluation Set-up'!$D$9, DATE($J14, O$12, 1) &gt;= 'Evaluation Set-up'!$E$9), "", "Before")</f>
        <v/>
      </c>
      <c r="P14" s="1" t="str">
        <f>IF(OR(DATE($J14, P$12, 1) &lt; 'Evaluation Set-up'!$D$9, DATE($J14, P$12, 1) &gt;= 'Evaluation Set-up'!$E$9), "", "Before")</f>
        <v/>
      </c>
      <c r="Q14" s="1" t="str">
        <f>IF(OR(DATE($J14, Q$12, 1) &lt; 'Evaluation Set-up'!$D$9, DATE($J14, Q$12, 1) &gt;= 'Evaluation Set-up'!$E$9), "", "Before")</f>
        <v/>
      </c>
      <c r="R14" s="1" t="str">
        <f>IF(OR(DATE($J14, R$12, 1) &lt; 'Evaluation Set-up'!$D$9, DATE($J14, R$12, 1) &gt;= 'Evaluation Set-up'!$E$9), "", "Before")</f>
        <v/>
      </c>
      <c r="S14" s="1" t="str">
        <f>IF(OR(DATE($J14, S$12, 1) &lt; 'Evaluation Set-up'!$D$9, DATE($J14, S$12, 1) &gt;= 'Evaluation Set-up'!$E$9), "", "Before")</f>
        <v/>
      </c>
      <c r="T14" s="1" t="str">
        <f>IF(OR(DATE($J14, T$12, 1) &lt; 'Evaluation Set-up'!$D$9, DATE($J14, T$12, 1) &gt;= 'Evaluation Set-up'!$E$9), "", "Before")</f>
        <v/>
      </c>
      <c r="U14" s="1" t="str">
        <f>IF(OR(DATE($J14, U$12, 1) &lt; 'Evaluation Set-up'!$D$9, DATE($J14, U$12, 1) &gt;= 'Evaluation Set-up'!$E$9), "", "Before")</f>
        <v/>
      </c>
      <c r="V14" s="1" t="str">
        <f>IF(OR(DATE($J14, V$12, 1) &lt; 'Evaluation Set-up'!$D$9, DATE($J14, V$12, 1) &gt;= 'Evaluation Set-up'!$E$9), "", "Before")</f>
        <v/>
      </c>
      <c r="W14" s="70" t="str">
        <f>IF(OR(DATE($J14, W$12, 1) &lt; 'Evaluation Set-up'!$D$9, DATE($J14, W$12, 1) &gt;= 'Evaluation Set-up'!$E$9), "", "Before")</f>
        <v/>
      </c>
      <c r="X14" s="1"/>
      <c r="Y14" s="49">
        <v>2011</v>
      </c>
      <c r="Z14" s="65">
        <f t="shared" ref="Z14:Z37" si="1">COUNTIFS(AA14:AL14, "After")</f>
        <v>0</v>
      </c>
      <c r="AA14" s="1" t="str">
        <f>IF(OR(DATE($Y14, L$12, 1) &lt; 'Evaluation Set-up'!$D$11, DATE($Y14, L$12, 1) &gt;= 'Evaluation Set-up'!$E$11), "", "After")</f>
        <v/>
      </c>
      <c r="AB14" s="1" t="str">
        <f>IF(OR(DATE($Y14, M$12, 1) &lt; 'Evaluation Set-up'!$D$11, DATE($Y14, M$12, 1) &gt;= 'Evaluation Set-up'!$E$11), "", "After")</f>
        <v/>
      </c>
      <c r="AC14" s="1" t="str">
        <f>IF(OR(DATE($Y14, N$12, 1) &lt; 'Evaluation Set-up'!$D$11, DATE($Y14, N$12, 1) &gt;= 'Evaluation Set-up'!$E$11), "", "After")</f>
        <v/>
      </c>
      <c r="AD14" s="1" t="str">
        <f>IF(OR(DATE($Y14, O$12, 1) &lt; 'Evaluation Set-up'!$D$11, DATE($Y14, O$12, 1) &gt;= 'Evaluation Set-up'!$E$11), "", "After")</f>
        <v/>
      </c>
      <c r="AE14" s="1" t="str">
        <f>IF(OR(DATE($Y14, P$12, 1) &lt; 'Evaluation Set-up'!$D$11, DATE($Y14, P$12, 1) &gt;= 'Evaluation Set-up'!$E$11), "", "After")</f>
        <v/>
      </c>
      <c r="AF14" s="1" t="str">
        <f>IF(OR(DATE($Y14, Q$12, 1) &lt; 'Evaluation Set-up'!$D$11, DATE($Y14, Q$12, 1) &gt;= 'Evaluation Set-up'!$E$11), "", "After")</f>
        <v/>
      </c>
      <c r="AG14" s="1" t="str">
        <f>IF(OR(DATE($Y14, R$12, 1) &lt; 'Evaluation Set-up'!$D$11, DATE($Y14, R$12, 1) &gt;= 'Evaluation Set-up'!$E$11), "", "After")</f>
        <v/>
      </c>
      <c r="AH14" s="1" t="str">
        <f>IF(OR(DATE($Y14, S$12, 1) &lt; 'Evaluation Set-up'!$D$11, DATE($Y14, S$12, 1) &gt;= 'Evaluation Set-up'!$E$11), "", "After")</f>
        <v/>
      </c>
      <c r="AI14" s="1" t="str">
        <f>IF(OR(DATE($Y14, T$12, 1) &lt; 'Evaluation Set-up'!$D$11, DATE($Y14, T$12, 1) &gt;= 'Evaluation Set-up'!$E$11), "", "After")</f>
        <v/>
      </c>
      <c r="AJ14" s="1" t="str">
        <f>IF(OR(DATE($Y14, U$12, 1) &lt; 'Evaluation Set-up'!$D$11, DATE($Y14, U$12, 1) &gt;= 'Evaluation Set-up'!$E$11), "", "After")</f>
        <v/>
      </c>
      <c r="AK14" s="1" t="str">
        <f>IF(OR(DATE($Y14, V$12, 1) &lt; 'Evaluation Set-up'!$D$11, DATE($Y14, V$12, 1) &gt;= 'Evaluation Set-up'!$E$11), "", "After")</f>
        <v/>
      </c>
      <c r="AL14" s="70" t="str">
        <f>IF(OR(DATE($Y14, W$12, 1) &lt; 'Evaluation Set-up'!$D$11, DATE($Y14, W$12, 1) &gt;= 'Evaluation Set-up'!$E$11), "", "After")</f>
        <v/>
      </c>
      <c r="AM14" s="1"/>
      <c r="AN14" s="1"/>
      <c r="AO14" s="1"/>
      <c r="AP14" s="1"/>
      <c r="AQ14" s="1"/>
    </row>
    <row r="15" spans="1:54">
      <c r="B15" s="77">
        <v>2012</v>
      </c>
      <c r="C15" s="81">
        <f>COUNTIF(Before!$Q:$Q,B15) + COUNTIF(After!$Q:$Q,B15)</f>
        <v>0</v>
      </c>
      <c r="D15" s="34">
        <f>COUNTIFS(Before!$C:$C,"&gt;=23",Before!$C:$C,"&lt;=27", Before!$Q:$Q,B15)+COUNTIFS(Before!$C:$C,"30", Before!$Q:$Q,B15) + COUNTIFS(After!$C:$C,"&gt;=23",After!$C:$C,"&lt;=27", After!$Q:$Q,B15)+COUNTIFS(After!$C:$C,"30", After!$Q:$Q,B15)</f>
        <v>0</v>
      </c>
      <c r="E15" s="34">
        <f>COUNTIFS(Before!$C:$C,"&gt;=21",Before!$C:$C,"&lt;=22", Before!$Q:$Q,B15) + COUNTIFS(After!$C:$C,"&gt;=21",After!$C:$C,"&lt;=22", After!$Q:$Q,B15)</f>
        <v>0</v>
      </c>
      <c r="F15" s="82">
        <f>COUNTIFS(Before!$Q:$Q,$B15, Before!$G:$G, "K") + COUNTIFS(Before!$Q:$Q,$B15, Before!$G:$G, "A") + COUNTIFS(Before!$Q:$Q,$B15, Before!$G:$G, "B") + COUNTIFS(Before!$Q:$Q,$B15, Before!$G:$G, "C")
+ COUNTIFS(After!$Q:$Q,$B15, After!$G:$G, "K") + COUNTIFS(After!$Q:$Q,$B15, After!$G:$G, "A") + COUNTIFS(After!$Q:$Q,$B15, After!$G:$G, "B") + COUNTIFS(After!$Q:$Q,$B15, After!$G:$G, "C")</f>
        <v>0</v>
      </c>
      <c r="G15" s="85" t="str">
        <f>VLOOKUP($B15, 'Evaluation Set-up'!$K$11:$R$35, 4, FALSE)</f>
        <v/>
      </c>
      <c r="H15" s="86" t="str">
        <f>VLOOKUP($B15, 'Evaluation Set-up'!$K$11:$R$35, 7, FALSE)</f>
        <v/>
      </c>
      <c r="J15" s="49">
        <v>2012</v>
      </c>
      <c r="K15" s="65">
        <f t="shared" si="0"/>
        <v>0</v>
      </c>
      <c r="L15" s="1" t="str">
        <f>IF(OR(DATE($J15, L$12, 1) &lt; 'Evaluation Set-up'!$D$9, DATE($J15, L$12, 1) &gt;= 'Evaluation Set-up'!$E$9), "", "Before")</f>
        <v/>
      </c>
      <c r="M15" s="1" t="str">
        <f>IF(OR(DATE($J15, M$12, 1) &lt; 'Evaluation Set-up'!$D$9, DATE($J15, M$12, 1) &gt;= 'Evaluation Set-up'!$E$9), "", "Before")</f>
        <v/>
      </c>
      <c r="N15" s="1" t="str">
        <f>IF(OR(DATE($J15, N$12, 1) &lt; 'Evaluation Set-up'!$D$9, DATE($J15, N$12, 1) &gt;= 'Evaluation Set-up'!$E$9), "", "Before")</f>
        <v/>
      </c>
      <c r="O15" s="1" t="str">
        <f>IF(OR(DATE($J15, O$12, 1) &lt; 'Evaluation Set-up'!$D$9, DATE($J15, O$12, 1) &gt;= 'Evaluation Set-up'!$E$9), "", "Before")</f>
        <v/>
      </c>
      <c r="P15" s="1" t="str">
        <f>IF(OR(DATE($J15, P$12, 1) &lt; 'Evaluation Set-up'!$D$9, DATE($J15, P$12, 1) &gt;= 'Evaluation Set-up'!$E$9), "", "Before")</f>
        <v/>
      </c>
      <c r="Q15" s="1" t="str">
        <f>IF(OR(DATE($J15, Q$12, 1) &lt; 'Evaluation Set-up'!$D$9, DATE($J15, Q$12, 1) &gt;= 'Evaluation Set-up'!$E$9), "", "Before")</f>
        <v/>
      </c>
      <c r="R15" s="1" t="str">
        <f>IF(OR(DATE($J15, R$12, 1) &lt; 'Evaluation Set-up'!$D$9, DATE($J15, R$12, 1) &gt;= 'Evaluation Set-up'!$E$9), "", "Before")</f>
        <v/>
      </c>
      <c r="S15" s="1" t="str">
        <f>IF(OR(DATE($J15, S$12, 1) &lt; 'Evaluation Set-up'!$D$9, DATE($J15, S$12, 1) &gt;= 'Evaluation Set-up'!$E$9), "", "Before")</f>
        <v/>
      </c>
      <c r="T15" s="1" t="str">
        <f>IF(OR(DATE($J15, T$12, 1) &lt; 'Evaluation Set-up'!$D$9, DATE($J15, T$12, 1) &gt;= 'Evaluation Set-up'!$E$9), "", "Before")</f>
        <v/>
      </c>
      <c r="U15" s="1" t="str">
        <f>IF(OR(DATE($J15, U$12, 1) &lt; 'Evaluation Set-up'!$D$9, DATE($J15, U$12, 1) &gt;= 'Evaluation Set-up'!$E$9), "", "Before")</f>
        <v/>
      </c>
      <c r="V15" s="1" t="str">
        <f>IF(OR(DATE($J15, V$12, 1) &lt; 'Evaluation Set-up'!$D$9, DATE($J15, V$12, 1) &gt;= 'Evaluation Set-up'!$E$9), "", "Before")</f>
        <v/>
      </c>
      <c r="W15" s="70" t="str">
        <f>IF(OR(DATE($J15, W$12, 1) &lt; 'Evaluation Set-up'!$D$9, DATE($J15, W$12, 1) &gt;= 'Evaluation Set-up'!$E$9), "", "Before")</f>
        <v/>
      </c>
      <c r="X15" s="1"/>
      <c r="Y15" s="49">
        <v>2012</v>
      </c>
      <c r="Z15" s="65">
        <f t="shared" si="1"/>
        <v>0</v>
      </c>
      <c r="AA15" s="1" t="str">
        <f>IF(OR(DATE($Y15, L$12, 1) &lt; 'Evaluation Set-up'!$D$11, DATE($Y15, L$12, 1) &gt;= 'Evaluation Set-up'!$E$11), "", "After")</f>
        <v/>
      </c>
      <c r="AB15" s="1" t="str">
        <f>IF(OR(DATE($Y15, M$12, 1) &lt; 'Evaluation Set-up'!$D$11, DATE($Y15, M$12, 1) &gt;= 'Evaluation Set-up'!$E$11), "", "After")</f>
        <v/>
      </c>
      <c r="AC15" s="1" t="str">
        <f>IF(OR(DATE($Y15, N$12, 1) &lt; 'Evaluation Set-up'!$D$11, DATE($Y15, N$12, 1) &gt;= 'Evaluation Set-up'!$E$11), "", "After")</f>
        <v/>
      </c>
      <c r="AD15" s="1" t="str">
        <f>IF(OR(DATE($Y15, O$12, 1) &lt; 'Evaluation Set-up'!$D$11, DATE($Y15, O$12, 1) &gt;= 'Evaluation Set-up'!$E$11), "", "After")</f>
        <v/>
      </c>
      <c r="AE15" s="1" t="str">
        <f>IF(OR(DATE($Y15, P$12, 1) &lt; 'Evaluation Set-up'!$D$11, DATE($Y15, P$12, 1) &gt;= 'Evaluation Set-up'!$E$11), "", "After")</f>
        <v/>
      </c>
      <c r="AF15" s="1" t="str">
        <f>IF(OR(DATE($Y15, Q$12, 1) &lt; 'Evaluation Set-up'!$D$11, DATE($Y15, Q$12, 1) &gt;= 'Evaluation Set-up'!$E$11), "", "After")</f>
        <v/>
      </c>
      <c r="AG15" s="1" t="str">
        <f>IF(OR(DATE($Y15, R$12, 1) &lt; 'Evaluation Set-up'!$D$11, DATE($Y15, R$12, 1) &gt;= 'Evaluation Set-up'!$E$11), "", "After")</f>
        <v/>
      </c>
      <c r="AH15" s="1" t="str">
        <f>IF(OR(DATE($Y15, S$12, 1) &lt; 'Evaluation Set-up'!$D$11, DATE($Y15, S$12, 1) &gt;= 'Evaluation Set-up'!$E$11), "", "After")</f>
        <v/>
      </c>
      <c r="AI15" s="1" t="str">
        <f>IF(OR(DATE($Y15, T$12, 1) &lt; 'Evaluation Set-up'!$D$11, DATE($Y15, T$12, 1) &gt;= 'Evaluation Set-up'!$E$11), "", "After")</f>
        <v/>
      </c>
      <c r="AJ15" s="1" t="str">
        <f>IF(OR(DATE($Y15, U$12, 1) &lt; 'Evaluation Set-up'!$D$11, DATE($Y15, U$12, 1) &gt;= 'Evaluation Set-up'!$E$11), "", "After")</f>
        <v/>
      </c>
      <c r="AK15" s="1" t="str">
        <f>IF(OR(DATE($Y15, V$12, 1) &lt; 'Evaluation Set-up'!$D$11, DATE($Y15, V$12, 1) &gt;= 'Evaluation Set-up'!$E$11), "", "After")</f>
        <v/>
      </c>
      <c r="AL15" s="70" t="str">
        <f>IF(OR(DATE($Y15, W$12, 1) &lt; 'Evaluation Set-up'!$D$11, DATE($Y15, W$12, 1) &gt;= 'Evaluation Set-up'!$E$11), "", "After")</f>
        <v/>
      </c>
    </row>
    <row r="16" spans="1:54">
      <c r="B16" s="77">
        <v>2013</v>
      </c>
      <c r="C16" s="81">
        <f>COUNTIF(Before!$Q:$Q,B16) + COUNTIF(After!$Q:$Q,B16)</f>
        <v>0</v>
      </c>
      <c r="D16" s="34">
        <f>COUNTIFS(Before!$C:$C,"&gt;=23",Before!$C:$C,"&lt;=27", Before!$Q:$Q,B16)+COUNTIFS(Before!$C:$C,"30", Before!$Q:$Q,B16) + COUNTIFS(After!$C:$C,"&gt;=23",After!$C:$C,"&lt;=27", After!$Q:$Q,B16)+COUNTIFS(After!$C:$C,"30", After!$Q:$Q,B16)</f>
        <v>0</v>
      </c>
      <c r="E16" s="34">
        <f>COUNTIFS(Before!$C:$C,"&gt;=21",Before!$C:$C,"&lt;=22", Before!$Q:$Q,B16) + COUNTIFS(After!$C:$C,"&gt;=21",After!$C:$C,"&lt;=22", After!$Q:$Q,B16)</f>
        <v>0</v>
      </c>
      <c r="F16" s="82">
        <f>COUNTIFS(Before!$Q:$Q,$B16, Before!$G:$G, "K") + COUNTIFS(Before!$Q:$Q,$B16, Before!$G:$G, "A") + COUNTIFS(Before!$Q:$Q,$B16, Before!$G:$G, "B") + COUNTIFS(Before!$Q:$Q,$B16, Before!$G:$G, "C")
+ COUNTIFS(After!$Q:$Q,$B16, After!$G:$G, "K") + COUNTIFS(After!$Q:$Q,$B16, After!$G:$G, "A") + COUNTIFS(After!$Q:$Q,$B16, After!$G:$G, "B") + COUNTIFS(After!$Q:$Q,$B16, After!$G:$G, "C")</f>
        <v>0</v>
      </c>
      <c r="G16" s="85" t="str">
        <f>VLOOKUP($B16, 'Evaluation Set-up'!$K$11:$R$35, 4, FALSE)</f>
        <v/>
      </c>
      <c r="H16" s="86" t="str">
        <f>VLOOKUP($B16, 'Evaluation Set-up'!$K$11:$R$35, 7, FALSE)</f>
        <v/>
      </c>
      <c r="J16" s="49">
        <v>2013</v>
      </c>
      <c r="K16" s="65">
        <f t="shared" si="0"/>
        <v>0</v>
      </c>
      <c r="L16" s="1" t="str">
        <f>IF(OR(DATE($J16, L$12, 1) &lt; 'Evaluation Set-up'!$D$9, DATE($J16, L$12, 1) &gt;= 'Evaluation Set-up'!$E$9), "", "Before")</f>
        <v/>
      </c>
      <c r="M16" s="1" t="str">
        <f>IF(OR(DATE($J16, M$12, 1) &lt; 'Evaluation Set-up'!$D$9, DATE($J16, M$12, 1) &gt;= 'Evaluation Set-up'!$E$9), "", "Before")</f>
        <v/>
      </c>
      <c r="N16" s="1" t="str">
        <f>IF(OR(DATE($J16, N$12, 1) &lt; 'Evaluation Set-up'!$D$9, DATE($J16, N$12, 1) &gt;= 'Evaluation Set-up'!$E$9), "", "Before")</f>
        <v/>
      </c>
      <c r="O16" s="1" t="str">
        <f>IF(OR(DATE($J16, O$12, 1) &lt; 'Evaluation Set-up'!$D$9, DATE($J16, O$12, 1) &gt;= 'Evaluation Set-up'!$E$9), "", "Before")</f>
        <v/>
      </c>
      <c r="P16" s="1" t="str">
        <f>IF(OR(DATE($J16, P$12, 1) &lt; 'Evaluation Set-up'!$D$9, DATE($J16, P$12, 1) &gt;= 'Evaluation Set-up'!$E$9), "", "Before")</f>
        <v/>
      </c>
      <c r="Q16" s="1" t="str">
        <f>IF(OR(DATE($J16, Q$12, 1) &lt; 'Evaluation Set-up'!$D$9, DATE($J16, Q$12, 1) &gt;= 'Evaluation Set-up'!$E$9), "", "Before")</f>
        <v/>
      </c>
      <c r="R16" s="1" t="str">
        <f>IF(OR(DATE($J16, R$12, 1) &lt; 'Evaluation Set-up'!$D$9, DATE($J16, R$12, 1) &gt;= 'Evaluation Set-up'!$E$9), "", "Before")</f>
        <v/>
      </c>
      <c r="S16" s="1" t="str">
        <f>IF(OR(DATE($J16, S$12, 1) &lt; 'Evaluation Set-up'!$D$9, DATE($J16, S$12, 1) &gt;= 'Evaluation Set-up'!$E$9), "", "Before")</f>
        <v/>
      </c>
      <c r="T16" s="1" t="str">
        <f>IF(OR(DATE($J16, T$12, 1) &lt; 'Evaluation Set-up'!$D$9, DATE($J16, T$12, 1) &gt;= 'Evaluation Set-up'!$E$9), "", "Before")</f>
        <v/>
      </c>
      <c r="U16" s="1" t="str">
        <f>IF(OR(DATE($J16, U$12, 1) &lt; 'Evaluation Set-up'!$D$9, DATE($J16, U$12, 1) &gt;= 'Evaluation Set-up'!$E$9), "", "Before")</f>
        <v/>
      </c>
      <c r="V16" s="1" t="str">
        <f>IF(OR(DATE($J16, V$12, 1) &lt; 'Evaluation Set-up'!$D$9, DATE($J16, V$12, 1) &gt;= 'Evaluation Set-up'!$E$9), "", "Before")</f>
        <v/>
      </c>
      <c r="W16" s="70" t="str">
        <f>IF(OR(DATE($J16, W$12, 1) &lt; 'Evaluation Set-up'!$D$9, DATE($J16, W$12, 1) &gt;= 'Evaluation Set-up'!$E$9), "", "Before")</f>
        <v/>
      </c>
      <c r="X16" s="1"/>
      <c r="Y16" s="49">
        <v>2013</v>
      </c>
      <c r="Z16" s="65">
        <f t="shared" si="1"/>
        <v>0</v>
      </c>
      <c r="AA16" s="1" t="str">
        <f>IF(OR(DATE($Y16, L$12, 1) &lt; 'Evaluation Set-up'!$D$11, DATE($Y16, L$12, 1) &gt;= 'Evaluation Set-up'!$E$11), "", "After")</f>
        <v/>
      </c>
      <c r="AB16" s="1" t="str">
        <f>IF(OR(DATE($Y16, M$12, 1) &lt; 'Evaluation Set-up'!$D$11, DATE($Y16, M$12, 1) &gt;= 'Evaluation Set-up'!$E$11), "", "After")</f>
        <v/>
      </c>
      <c r="AC16" s="1" t="str">
        <f>IF(OR(DATE($Y16, N$12, 1) &lt; 'Evaluation Set-up'!$D$11, DATE($Y16, N$12, 1) &gt;= 'Evaluation Set-up'!$E$11), "", "After")</f>
        <v/>
      </c>
      <c r="AD16" s="1" t="str">
        <f>IF(OR(DATE($Y16, O$12, 1) &lt; 'Evaluation Set-up'!$D$11, DATE($Y16, O$12, 1) &gt;= 'Evaluation Set-up'!$E$11), "", "After")</f>
        <v/>
      </c>
      <c r="AE16" s="1" t="str">
        <f>IF(OR(DATE($Y16, P$12, 1) &lt; 'Evaluation Set-up'!$D$11, DATE($Y16, P$12, 1) &gt;= 'Evaluation Set-up'!$E$11), "", "After")</f>
        <v/>
      </c>
      <c r="AF16" s="1" t="str">
        <f>IF(OR(DATE($Y16, Q$12, 1) &lt; 'Evaluation Set-up'!$D$11, DATE($Y16, Q$12, 1) &gt;= 'Evaluation Set-up'!$E$11), "", "After")</f>
        <v/>
      </c>
      <c r="AG16" s="1" t="str">
        <f>IF(OR(DATE($Y16, R$12, 1) &lt; 'Evaluation Set-up'!$D$11, DATE($Y16, R$12, 1) &gt;= 'Evaluation Set-up'!$E$11), "", "After")</f>
        <v/>
      </c>
      <c r="AH16" s="1" t="str">
        <f>IF(OR(DATE($Y16, S$12, 1) &lt; 'Evaluation Set-up'!$D$11, DATE($Y16, S$12, 1) &gt;= 'Evaluation Set-up'!$E$11), "", "After")</f>
        <v/>
      </c>
      <c r="AI16" s="1" t="str">
        <f>IF(OR(DATE($Y16, T$12, 1) &lt; 'Evaluation Set-up'!$D$11, DATE($Y16, T$12, 1) &gt;= 'Evaluation Set-up'!$E$11), "", "After")</f>
        <v/>
      </c>
      <c r="AJ16" s="1" t="str">
        <f>IF(OR(DATE($Y16, U$12, 1) &lt; 'Evaluation Set-up'!$D$11, DATE($Y16, U$12, 1) &gt;= 'Evaluation Set-up'!$E$11), "", "After")</f>
        <v/>
      </c>
      <c r="AK16" s="1" t="str">
        <f>IF(OR(DATE($Y16, V$12, 1) &lt; 'Evaluation Set-up'!$D$11, DATE($Y16, V$12, 1) &gt;= 'Evaluation Set-up'!$E$11), "", "After")</f>
        <v/>
      </c>
      <c r="AL16" s="70" t="str">
        <f>IF(OR(DATE($Y16, W$12, 1) &lt; 'Evaluation Set-up'!$D$11, DATE($Y16, W$12, 1) &gt;= 'Evaluation Set-up'!$E$11), "", "After")</f>
        <v/>
      </c>
    </row>
    <row r="17" spans="2:38">
      <c r="B17" s="77">
        <v>2014</v>
      </c>
      <c r="C17" s="81">
        <f>COUNTIF(Before!$Q:$Q,B17) + COUNTIF(After!$Q:$Q,B17)</f>
        <v>0</v>
      </c>
      <c r="D17" s="34">
        <f>COUNTIFS(Before!$C:$C,"&gt;=23",Before!$C:$C,"&lt;=27", Before!$Q:$Q,B17)+COUNTIFS(Before!$C:$C,"30", Before!$Q:$Q,B17) + COUNTIFS(After!$C:$C,"&gt;=23",After!$C:$C,"&lt;=27", After!$Q:$Q,B17)+COUNTIFS(After!$C:$C,"30", After!$Q:$Q,B17)</f>
        <v>0</v>
      </c>
      <c r="E17" s="34">
        <f>COUNTIFS(Before!$C:$C,"&gt;=21",Before!$C:$C,"&lt;=22", Before!$Q:$Q,B17) + COUNTIFS(After!$C:$C,"&gt;=21",After!$C:$C,"&lt;=22", After!$Q:$Q,B17)</f>
        <v>0</v>
      </c>
      <c r="F17" s="82">
        <f>COUNTIFS(Before!$Q:$Q,$B17, Before!$G:$G, "K") + COUNTIFS(Before!$Q:$Q,$B17, Before!$G:$G, "A") + COUNTIFS(Before!$Q:$Q,$B17, Before!$G:$G, "B") + COUNTIFS(Before!$Q:$Q,$B17, Before!$G:$G, "C")
+ COUNTIFS(After!$Q:$Q,$B17, After!$G:$G, "K") + COUNTIFS(After!$Q:$Q,$B17, After!$G:$G, "A") + COUNTIFS(After!$Q:$Q,$B17, After!$G:$G, "B") + COUNTIFS(After!$Q:$Q,$B17, After!$G:$G, "C")</f>
        <v>0</v>
      </c>
      <c r="G17" s="85" t="str">
        <f>VLOOKUP($B17, 'Evaluation Set-up'!$K$11:$R$35, 4, FALSE)</f>
        <v/>
      </c>
      <c r="H17" s="86" t="str">
        <f>VLOOKUP($B17, 'Evaluation Set-up'!$K$11:$R$35, 7, FALSE)</f>
        <v/>
      </c>
      <c r="J17" s="49">
        <v>2014</v>
      </c>
      <c r="K17" s="65">
        <f t="shared" si="0"/>
        <v>0</v>
      </c>
      <c r="L17" s="1" t="str">
        <f>IF(OR(DATE($J17, L$12, 1) &lt; 'Evaluation Set-up'!$D$9, DATE($J17, L$12, 1) &gt;= 'Evaluation Set-up'!$E$9), "", "Before")</f>
        <v/>
      </c>
      <c r="M17" s="1" t="str">
        <f>IF(OR(DATE($J17, M$12, 1) &lt; 'Evaluation Set-up'!$D$9, DATE($J17, M$12, 1) &gt;= 'Evaluation Set-up'!$E$9), "", "Before")</f>
        <v/>
      </c>
      <c r="N17" s="1" t="str">
        <f>IF(OR(DATE($J17, N$12, 1) &lt; 'Evaluation Set-up'!$D$9, DATE($J17, N$12, 1) &gt;= 'Evaluation Set-up'!$E$9), "", "Before")</f>
        <v/>
      </c>
      <c r="O17" s="1" t="str">
        <f>IF(OR(DATE($J17, O$12, 1) &lt; 'Evaluation Set-up'!$D$9, DATE($J17, O$12, 1) &gt;= 'Evaluation Set-up'!$E$9), "", "Before")</f>
        <v/>
      </c>
      <c r="P17" s="1" t="str">
        <f>IF(OR(DATE($J17, P$12, 1) &lt; 'Evaluation Set-up'!$D$9, DATE($J17, P$12, 1) &gt;= 'Evaluation Set-up'!$E$9), "", "Before")</f>
        <v/>
      </c>
      <c r="Q17" s="1" t="str">
        <f>IF(OR(DATE($J17, Q$12, 1) &lt; 'Evaluation Set-up'!$D$9, DATE($J17, Q$12, 1) &gt;= 'Evaluation Set-up'!$E$9), "", "Before")</f>
        <v/>
      </c>
      <c r="R17" s="1" t="str">
        <f>IF(OR(DATE($J17, R$12, 1) &lt; 'Evaluation Set-up'!$D$9, DATE($J17, R$12, 1) &gt;= 'Evaluation Set-up'!$E$9), "", "Before")</f>
        <v/>
      </c>
      <c r="S17" s="1" t="str">
        <f>IF(OR(DATE($J17, S$12, 1) &lt; 'Evaluation Set-up'!$D$9, DATE($J17, S$12, 1) &gt;= 'Evaluation Set-up'!$E$9), "", "Before")</f>
        <v/>
      </c>
      <c r="T17" s="1" t="str">
        <f>IF(OR(DATE($J17, T$12, 1) &lt; 'Evaluation Set-up'!$D$9, DATE($J17, T$12, 1) &gt;= 'Evaluation Set-up'!$E$9), "", "Before")</f>
        <v/>
      </c>
      <c r="U17" s="1" t="str">
        <f>IF(OR(DATE($J17, U$12, 1) &lt; 'Evaluation Set-up'!$D$9, DATE($J17, U$12, 1) &gt;= 'Evaluation Set-up'!$E$9), "", "Before")</f>
        <v/>
      </c>
      <c r="V17" s="1" t="str">
        <f>IF(OR(DATE($J17, V$12, 1) &lt; 'Evaluation Set-up'!$D$9, DATE($J17, V$12, 1) &gt;= 'Evaluation Set-up'!$E$9), "", "Before")</f>
        <v/>
      </c>
      <c r="W17" s="70" t="str">
        <f>IF(OR(DATE($J17, W$12, 1) &lt; 'Evaluation Set-up'!$D$9, DATE($J17, W$12, 1) &gt;= 'Evaluation Set-up'!$E$9), "", "Before")</f>
        <v/>
      </c>
      <c r="X17" s="46"/>
      <c r="Y17" s="49">
        <v>2014</v>
      </c>
      <c r="Z17" s="65">
        <f t="shared" si="1"/>
        <v>0</v>
      </c>
      <c r="AA17" s="1" t="str">
        <f>IF(OR(DATE($Y17, L$12, 1) &lt; 'Evaluation Set-up'!$D$11, DATE($Y17, L$12, 1) &gt;= 'Evaluation Set-up'!$E$11), "", "After")</f>
        <v/>
      </c>
      <c r="AB17" s="1" t="str">
        <f>IF(OR(DATE($Y17, M$12, 1) &lt; 'Evaluation Set-up'!$D$11, DATE($Y17, M$12, 1) &gt;= 'Evaluation Set-up'!$E$11), "", "After")</f>
        <v/>
      </c>
      <c r="AC17" s="1" t="str">
        <f>IF(OR(DATE($Y17, N$12, 1) &lt; 'Evaluation Set-up'!$D$11, DATE($Y17, N$12, 1) &gt;= 'Evaluation Set-up'!$E$11), "", "After")</f>
        <v/>
      </c>
      <c r="AD17" s="1" t="str">
        <f>IF(OR(DATE($Y17, O$12, 1) &lt; 'Evaluation Set-up'!$D$11, DATE($Y17, O$12, 1) &gt;= 'Evaluation Set-up'!$E$11), "", "After")</f>
        <v/>
      </c>
      <c r="AE17" s="1" t="str">
        <f>IF(OR(DATE($Y17, P$12, 1) &lt; 'Evaluation Set-up'!$D$11, DATE($Y17, P$12, 1) &gt;= 'Evaluation Set-up'!$E$11), "", "After")</f>
        <v/>
      </c>
      <c r="AF17" s="1" t="str">
        <f>IF(OR(DATE($Y17, Q$12, 1) &lt; 'Evaluation Set-up'!$D$11, DATE($Y17, Q$12, 1) &gt;= 'Evaluation Set-up'!$E$11), "", "After")</f>
        <v/>
      </c>
      <c r="AG17" s="1" t="str">
        <f>IF(OR(DATE($Y17, R$12, 1) &lt; 'Evaluation Set-up'!$D$11, DATE($Y17, R$12, 1) &gt;= 'Evaluation Set-up'!$E$11), "", "After")</f>
        <v/>
      </c>
      <c r="AH17" s="1" t="str">
        <f>IF(OR(DATE($Y17, S$12, 1) &lt; 'Evaluation Set-up'!$D$11, DATE($Y17, S$12, 1) &gt;= 'Evaluation Set-up'!$E$11), "", "After")</f>
        <v/>
      </c>
      <c r="AI17" s="1" t="str">
        <f>IF(OR(DATE($Y17, T$12, 1) &lt; 'Evaluation Set-up'!$D$11, DATE($Y17, T$12, 1) &gt;= 'Evaluation Set-up'!$E$11), "", "After")</f>
        <v/>
      </c>
      <c r="AJ17" s="1" t="str">
        <f>IF(OR(DATE($Y17, U$12, 1) &lt; 'Evaluation Set-up'!$D$11, DATE($Y17, U$12, 1) &gt;= 'Evaluation Set-up'!$E$11), "", "After")</f>
        <v/>
      </c>
      <c r="AK17" s="1" t="str">
        <f>IF(OR(DATE($Y17, V$12, 1) &lt; 'Evaluation Set-up'!$D$11, DATE($Y17, V$12, 1) &gt;= 'Evaluation Set-up'!$E$11), "", "After")</f>
        <v/>
      </c>
      <c r="AL17" s="70" t="str">
        <f>IF(OR(DATE($Y17, W$12, 1) &lt; 'Evaluation Set-up'!$D$11, DATE($Y17, W$12, 1) &gt;= 'Evaluation Set-up'!$E$11), "", "After")</f>
        <v/>
      </c>
    </row>
    <row r="18" spans="2:38">
      <c r="B18" s="77">
        <v>2015</v>
      </c>
      <c r="C18" s="81">
        <f>COUNTIF(Before!$Q:$Q,B18) + COUNTIF(After!$Q:$Q,B18)</f>
        <v>0</v>
      </c>
      <c r="D18" s="34">
        <f>COUNTIFS(Before!$C:$C,"&gt;=23",Before!$C:$C,"&lt;=27", Before!$Q:$Q,B18)+COUNTIFS(Before!$C:$C,"30", Before!$Q:$Q,B18) + COUNTIFS(After!$C:$C,"&gt;=23",After!$C:$C,"&lt;=27", After!$Q:$Q,B18)+COUNTIFS(After!$C:$C,"30", After!$Q:$Q,B18)</f>
        <v>0</v>
      </c>
      <c r="E18" s="34">
        <f>COUNTIFS(Before!$C:$C,"&gt;=21",Before!$C:$C,"&lt;=22", Before!$Q:$Q,B18) + COUNTIFS(After!$C:$C,"&gt;=21",After!$C:$C,"&lt;=22", After!$Q:$Q,B18)</f>
        <v>0</v>
      </c>
      <c r="F18" s="82">
        <f>COUNTIFS(Before!$Q:$Q,$B18, Before!$G:$G, "K") + COUNTIFS(Before!$Q:$Q,$B18, Before!$G:$G, "A") + COUNTIFS(Before!$Q:$Q,$B18, Before!$G:$G, "B") + COUNTIFS(Before!$Q:$Q,$B18, Before!$G:$G, "C")
+ COUNTIFS(After!$Q:$Q,$B18, After!$G:$G, "K") + COUNTIFS(After!$Q:$Q,$B18, After!$G:$G, "A") + COUNTIFS(After!$Q:$Q,$B18, After!$G:$G, "B") + COUNTIFS(After!$Q:$Q,$B18, After!$G:$G, "C")</f>
        <v>0</v>
      </c>
      <c r="G18" s="85" t="str">
        <f>VLOOKUP($B18, 'Evaluation Set-up'!$K$11:$R$35, 4, FALSE)</f>
        <v/>
      </c>
      <c r="H18" s="86" t="str">
        <f>VLOOKUP($B18, 'Evaluation Set-up'!$K$11:$R$35, 7, FALSE)</f>
        <v/>
      </c>
      <c r="J18" s="49">
        <v>2015</v>
      </c>
      <c r="K18" s="65">
        <f t="shared" si="0"/>
        <v>0</v>
      </c>
      <c r="L18" s="1" t="str">
        <f>IF(OR(DATE($J18, L$12, 1) &lt; 'Evaluation Set-up'!$D$9, DATE($J18, L$12, 1) &gt;= 'Evaluation Set-up'!$E$9), "", "Before")</f>
        <v/>
      </c>
      <c r="M18" s="1" t="str">
        <f>IF(OR(DATE($J18, M$12, 1) &lt; 'Evaluation Set-up'!$D$9, DATE($J18, M$12, 1) &gt;= 'Evaluation Set-up'!$E$9), "", "Before")</f>
        <v/>
      </c>
      <c r="N18" s="1" t="str">
        <f>IF(OR(DATE($J18, N$12, 1) &lt; 'Evaluation Set-up'!$D$9, DATE($J18, N$12, 1) &gt;= 'Evaluation Set-up'!$E$9), "", "Before")</f>
        <v/>
      </c>
      <c r="O18" s="1" t="str">
        <f>IF(OR(DATE($J18, O$12, 1) &lt; 'Evaluation Set-up'!$D$9, DATE($J18, O$12, 1) &gt;= 'Evaluation Set-up'!$E$9), "", "Before")</f>
        <v/>
      </c>
      <c r="P18" s="1" t="str">
        <f>IF(OR(DATE($J18, P$12, 1) &lt; 'Evaluation Set-up'!$D$9, DATE($J18, P$12, 1) &gt;= 'Evaluation Set-up'!$E$9), "", "Before")</f>
        <v/>
      </c>
      <c r="Q18" s="1" t="str">
        <f>IF(OR(DATE($J18, Q$12, 1) &lt; 'Evaluation Set-up'!$D$9, DATE($J18, Q$12, 1) &gt;= 'Evaluation Set-up'!$E$9), "", "Before")</f>
        <v/>
      </c>
      <c r="R18" s="1" t="str">
        <f>IF(OR(DATE($J18, R$12, 1) &lt; 'Evaluation Set-up'!$D$9, DATE($J18, R$12, 1) &gt;= 'Evaluation Set-up'!$E$9), "", "Before")</f>
        <v/>
      </c>
      <c r="S18" s="1" t="str">
        <f>IF(OR(DATE($J18, S$12, 1) &lt; 'Evaluation Set-up'!$D$9, DATE($J18, S$12, 1) &gt;= 'Evaluation Set-up'!$E$9), "", "Before")</f>
        <v/>
      </c>
      <c r="T18" s="1" t="str">
        <f>IF(OR(DATE($J18, T$12, 1) &lt; 'Evaluation Set-up'!$D$9, DATE($J18, T$12, 1) &gt;= 'Evaluation Set-up'!$E$9), "", "Before")</f>
        <v/>
      </c>
      <c r="U18" s="1" t="str">
        <f>IF(OR(DATE($J18, U$12, 1) &lt; 'Evaluation Set-up'!$D$9, DATE($J18, U$12, 1) &gt;= 'Evaluation Set-up'!$E$9), "", "Before")</f>
        <v/>
      </c>
      <c r="V18" s="1" t="str">
        <f>IF(OR(DATE($J18, V$12, 1) &lt; 'Evaluation Set-up'!$D$9, DATE($J18, V$12, 1) &gt;= 'Evaluation Set-up'!$E$9), "", "Before")</f>
        <v/>
      </c>
      <c r="W18" s="70" t="str">
        <f>IF(OR(DATE($J18, W$12, 1) &lt; 'Evaluation Set-up'!$D$9, DATE($J18, W$12, 1) &gt;= 'Evaluation Set-up'!$E$9), "", "Before")</f>
        <v/>
      </c>
      <c r="X18" s="1"/>
      <c r="Y18" s="49">
        <v>2015</v>
      </c>
      <c r="Z18" s="65">
        <f t="shared" si="1"/>
        <v>0</v>
      </c>
      <c r="AA18" s="1" t="str">
        <f>IF(OR(DATE($Y18, L$12, 1) &lt; 'Evaluation Set-up'!$D$11, DATE($Y18, L$12, 1) &gt;= 'Evaluation Set-up'!$E$11), "", "After")</f>
        <v/>
      </c>
      <c r="AB18" s="1" t="str">
        <f>IF(OR(DATE($Y18, M$12, 1) &lt; 'Evaluation Set-up'!$D$11, DATE($Y18, M$12, 1) &gt;= 'Evaluation Set-up'!$E$11), "", "After")</f>
        <v/>
      </c>
      <c r="AC18" s="1" t="str">
        <f>IF(OR(DATE($Y18, N$12, 1) &lt; 'Evaluation Set-up'!$D$11, DATE($Y18, N$12, 1) &gt;= 'Evaluation Set-up'!$E$11), "", "After")</f>
        <v/>
      </c>
      <c r="AD18" s="1" t="str">
        <f>IF(OR(DATE($Y18, O$12, 1) &lt; 'Evaluation Set-up'!$D$11, DATE($Y18, O$12, 1) &gt;= 'Evaluation Set-up'!$E$11), "", "After")</f>
        <v/>
      </c>
      <c r="AE18" s="1" t="str">
        <f>IF(OR(DATE($Y18, P$12, 1) &lt; 'Evaluation Set-up'!$D$11, DATE($Y18, P$12, 1) &gt;= 'Evaluation Set-up'!$E$11), "", "After")</f>
        <v/>
      </c>
      <c r="AF18" s="1" t="str">
        <f>IF(OR(DATE($Y18, Q$12, 1) &lt; 'Evaluation Set-up'!$D$11, DATE($Y18, Q$12, 1) &gt;= 'Evaluation Set-up'!$E$11), "", "After")</f>
        <v/>
      </c>
      <c r="AG18" s="1" t="str">
        <f>IF(OR(DATE($Y18, R$12, 1) &lt; 'Evaluation Set-up'!$D$11, DATE($Y18, R$12, 1) &gt;= 'Evaluation Set-up'!$E$11), "", "After")</f>
        <v/>
      </c>
      <c r="AH18" s="1" t="str">
        <f>IF(OR(DATE($Y18, S$12, 1) &lt; 'Evaluation Set-up'!$D$11, DATE($Y18, S$12, 1) &gt;= 'Evaluation Set-up'!$E$11), "", "After")</f>
        <v/>
      </c>
      <c r="AI18" s="1" t="str">
        <f>IF(OR(DATE($Y18, T$12, 1) &lt; 'Evaluation Set-up'!$D$11, DATE($Y18, T$12, 1) &gt;= 'Evaluation Set-up'!$E$11), "", "After")</f>
        <v/>
      </c>
      <c r="AJ18" s="1" t="str">
        <f>IF(OR(DATE($Y18, U$12, 1) &lt; 'Evaluation Set-up'!$D$11, DATE($Y18, U$12, 1) &gt;= 'Evaluation Set-up'!$E$11), "", "After")</f>
        <v/>
      </c>
      <c r="AK18" s="1" t="str">
        <f>IF(OR(DATE($Y18, V$12, 1) &lt; 'Evaluation Set-up'!$D$11, DATE($Y18, V$12, 1) &gt;= 'Evaluation Set-up'!$E$11), "", "After")</f>
        <v/>
      </c>
      <c r="AL18" s="70" t="str">
        <f>IF(OR(DATE($Y18, W$12, 1) &lt; 'Evaluation Set-up'!$D$11, DATE($Y18, W$12, 1) &gt;= 'Evaluation Set-up'!$E$11), "", "After")</f>
        <v/>
      </c>
    </row>
    <row r="19" spans="2:38">
      <c r="B19" s="77">
        <v>2016</v>
      </c>
      <c r="C19" s="81">
        <f>COUNTIF(Before!$Q:$Q,B19) + COUNTIF(After!$Q:$Q,B19)</f>
        <v>0</v>
      </c>
      <c r="D19" s="34">
        <f>COUNTIFS(Before!$C:$C,"&gt;=23",Before!$C:$C,"&lt;=27", Before!$Q:$Q,B19)+COUNTIFS(Before!$C:$C,"30", Before!$Q:$Q,B19) + COUNTIFS(After!$C:$C,"&gt;=23",After!$C:$C,"&lt;=27", After!$Q:$Q,B19)+COUNTIFS(After!$C:$C,"30", After!$Q:$Q,B19)</f>
        <v>0</v>
      </c>
      <c r="E19" s="34">
        <f>COUNTIFS(Before!$C:$C,"&gt;=21",Before!$C:$C,"&lt;=22", Before!$Q:$Q,B19) + COUNTIFS(After!$C:$C,"&gt;=21",After!$C:$C,"&lt;=22", After!$Q:$Q,B19)</f>
        <v>0</v>
      </c>
      <c r="F19" s="82">
        <f>COUNTIFS(Before!$Q:$Q,$B19, Before!$G:$G, "K") + COUNTIFS(Before!$Q:$Q,$B19, Before!$G:$G, "A") + COUNTIFS(Before!$Q:$Q,$B19, Before!$G:$G, "B") + COUNTIFS(Before!$Q:$Q,$B19, Before!$G:$G, "C")
+ COUNTIFS(After!$Q:$Q,$B19, After!$G:$G, "K") + COUNTIFS(After!$Q:$Q,$B19, After!$G:$G, "A") + COUNTIFS(After!$Q:$Q,$B19, After!$G:$G, "B") + COUNTIFS(After!$Q:$Q,$B19, After!$G:$G, "C")</f>
        <v>0</v>
      </c>
      <c r="G19" s="85" t="str">
        <f>VLOOKUP($B19, 'Evaluation Set-up'!$K$11:$R$35, 4, FALSE)</f>
        <v/>
      </c>
      <c r="H19" s="86" t="str">
        <f>VLOOKUP($B19, 'Evaluation Set-up'!$K$11:$R$35, 7, FALSE)</f>
        <v/>
      </c>
      <c r="J19" s="49">
        <v>2016</v>
      </c>
      <c r="K19" s="65">
        <f t="shared" si="0"/>
        <v>0</v>
      </c>
      <c r="L19" s="1" t="str">
        <f>IF(OR(DATE($J19, L$12, 1) &lt; 'Evaluation Set-up'!$D$9, DATE($J19, L$12, 1) &gt;= 'Evaluation Set-up'!$E$9), "", "Before")</f>
        <v/>
      </c>
      <c r="M19" s="1" t="str">
        <f>IF(OR(DATE($J19, M$12, 1) &lt; 'Evaluation Set-up'!$D$9, DATE($J19, M$12, 1) &gt;= 'Evaluation Set-up'!$E$9), "", "Before")</f>
        <v/>
      </c>
      <c r="N19" s="1" t="str">
        <f>IF(OR(DATE($J19, N$12, 1) &lt; 'Evaluation Set-up'!$D$9, DATE($J19, N$12, 1) &gt;= 'Evaluation Set-up'!$E$9), "", "Before")</f>
        <v/>
      </c>
      <c r="O19" s="1" t="str">
        <f>IF(OR(DATE($J19, O$12, 1) &lt; 'Evaluation Set-up'!$D$9, DATE($J19, O$12, 1) &gt;= 'Evaluation Set-up'!$E$9), "", "Before")</f>
        <v/>
      </c>
      <c r="P19" s="1" t="str">
        <f>IF(OR(DATE($J19, P$12, 1) &lt; 'Evaluation Set-up'!$D$9, DATE($J19, P$12, 1) &gt;= 'Evaluation Set-up'!$E$9), "", "Before")</f>
        <v/>
      </c>
      <c r="Q19" s="1" t="str">
        <f>IF(OR(DATE($J19, Q$12, 1) &lt; 'Evaluation Set-up'!$D$9, DATE($J19, Q$12, 1) &gt;= 'Evaluation Set-up'!$E$9), "", "Before")</f>
        <v/>
      </c>
      <c r="R19" s="1" t="str">
        <f>IF(OR(DATE($J19, R$12, 1) &lt; 'Evaluation Set-up'!$D$9, DATE($J19, R$12, 1) &gt;= 'Evaluation Set-up'!$E$9), "", "Before")</f>
        <v/>
      </c>
      <c r="S19" s="1" t="str">
        <f>IF(OR(DATE($J19, S$12, 1) &lt; 'Evaluation Set-up'!$D$9, DATE($J19, S$12, 1) &gt;= 'Evaluation Set-up'!$E$9), "", "Before")</f>
        <v/>
      </c>
      <c r="T19" s="1" t="str">
        <f>IF(OR(DATE($J19, T$12, 1) &lt; 'Evaluation Set-up'!$D$9, DATE($J19, T$12, 1) &gt;= 'Evaluation Set-up'!$E$9), "", "Before")</f>
        <v/>
      </c>
      <c r="U19" s="1" t="str">
        <f>IF(OR(DATE($J19, U$12, 1) &lt; 'Evaluation Set-up'!$D$9, DATE($J19, U$12, 1) &gt;= 'Evaluation Set-up'!$E$9), "", "Before")</f>
        <v/>
      </c>
      <c r="V19" s="1" t="str">
        <f>IF(OR(DATE($J19, V$12, 1) &lt; 'Evaluation Set-up'!$D$9, DATE($J19, V$12, 1) &gt;= 'Evaluation Set-up'!$E$9), "", "Before")</f>
        <v/>
      </c>
      <c r="W19" s="70" t="str">
        <f>IF(OR(DATE($J19, W$12, 1) &lt; 'Evaluation Set-up'!$D$9, DATE($J19, W$12, 1) &gt;= 'Evaluation Set-up'!$E$9), "", "Before")</f>
        <v>Before</v>
      </c>
      <c r="X19" s="1"/>
      <c r="Y19" s="49">
        <v>2016</v>
      </c>
      <c r="Z19" s="65">
        <f t="shared" si="1"/>
        <v>0</v>
      </c>
      <c r="AA19" s="1" t="str">
        <f>IF(OR(DATE($Y19, L$12, 1) &lt; 'Evaluation Set-up'!$D$11, DATE($Y19, L$12, 1) &gt;= 'Evaluation Set-up'!$E$11), "", "After")</f>
        <v/>
      </c>
      <c r="AB19" s="1" t="str">
        <f>IF(OR(DATE($Y19, M$12, 1) &lt; 'Evaluation Set-up'!$D$11, DATE($Y19, M$12, 1) &gt;= 'Evaluation Set-up'!$E$11), "", "After")</f>
        <v/>
      </c>
      <c r="AC19" s="1" t="str">
        <f>IF(OR(DATE($Y19, N$12, 1) &lt; 'Evaluation Set-up'!$D$11, DATE($Y19, N$12, 1) &gt;= 'Evaluation Set-up'!$E$11), "", "After")</f>
        <v/>
      </c>
      <c r="AD19" s="1" t="str">
        <f>IF(OR(DATE($Y19, O$12, 1) &lt; 'Evaluation Set-up'!$D$11, DATE($Y19, O$12, 1) &gt;= 'Evaluation Set-up'!$E$11), "", "After")</f>
        <v/>
      </c>
      <c r="AE19" s="1" t="str">
        <f>IF(OR(DATE($Y19, P$12, 1) &lt; 'Evaluation Set-up'!$D$11, DATE($Y19, P$12, 1) &gt;= 'Evaluation Set-up'!$E$11), "", "After")</f>
        <v/>
      </c>
      <c r="AF19" s="1" t="str">
        <f>IF(OR(DATE($Y19, Q$12, 1) &lt; 'Evaluation Set-up'!$D$11, DATE($Y19, Q$12, 1) &gt;= 'Evaluation Set-up'!$E$11), "", "After")</f>
        <v/>
      </c>
      <c r="AG19" s="1" t="str">
        <f>IF(OR(DATE($Y19, R$12, 1) &lt; 'Evaluation Set-up'!$D$11, DATE($Y19, R$12, 1) &gt;= 'Evaluation Set-up'!$E$11), "", "After")</f>
        <v/>
      </c>
      <c r="AH19" s="1" t="str">
        <f>IF(OR(DATE($Y19, S$12, 1) &lt; 'Evaluation Set-up'!$D$11, DATE($Y19, S$12, 1) &gt;= 'Evaluation Set-up'!$E$11), "", "After")</f>
        <v/>
      </c>
      <c r="AI19" s="1" t="str">
        <f>IF(OR(DATE($Y19, T$12, 1) &lt; 'Evaluation Set-up'!$D$11, DATE($Y19, T$12, 1) &gt;= 'Evaluation Set-up'!$E$11), "", "After")</f>
        <v/>
      </c>
      <c r="AJ19" s="1" t="str">
        <f>IF(OR(DATE($Y19, U$12, 1) &lt; 'Evaluation Set-up'!$D$11, DATE($Y19, U$12, 1) &gt;= 'Evaluation Set-up'!$E$11), "", "After")</f>
        <v/>
      </c>
      <c r="AK19" s="1" t="str">
        <f>IF(OR(DATE($Y19, V$12, 1) &lt; 'Evaluation Set-up'!$D$11, DATE($Y19, V$12, 1) &gt;= 'Evaluation Set-up'!$E$11), "", "After")</f>
        <v/>
      </c>
      <c r="AL19" s="70" t="str">
        <f>IF(OR(DATE($Y19, W$12, 1) &lt; 'Evaluation Set-up'!$D$11, DATE($Y19, W$12, 1) &gt;= 'Evaluation Set-up'!$E$11), "", "After")</f>
        <v/>
      </c>
    </row>
    <row r="20" spans="2:38">
      <c r="B20" s="77">
        <v>2017</v>
      </c>
      <c r="C20" s="81">
        <f>COUNTIF(Before!$Q:$Q,B20) + COUNTIF(After!$Q:$Q,B20)</f>
        <v>7</v>
      </c>
      <c r="D20" s="34">
        <f>COUNTIFS(Before!$C:$C,"&gt;=23",Before!$C:$C,"&lt;=27", Before!$Q:$Q,B20)+COUNTIFS(Before!$C:$C,"30", Before!$Q:$Q,B20) + COUNTIFS(After!$C:$C,"&gt;=23",After!$C:$C,"&lt;=27", After!$Q:$Q,B20)+COUNTIFS(After!$C:$C,"30", After!$Q:$Q,B20)</f>
        <v>6</v>
      </c>
      <c r="E20" s="34">
        <f>COUNTIFS(Before!$C:$C,"&gt;=21",Before!$C:$C,"&lt;=22", Before!$Q:$Q,B20) + COUNTIFS(After!$C:$C,"&gt;=21",After!$C:$C,"&lt;=22", After!$Q:$Q,B20)</f>
        <v>0</v>
      </c>
      <c r="F20" s="82">
        <f>COUNTIFS(Before!$Q:$Q,$B20, Before!$G:$G, "K") + COUNTIFS(Before!$Q:$Q,$B20, Before!$G:$G, "A") + COUNTIFS(Before!$Q:$Q,$B20, Before!$G:$G, "B") + COUNTIFS(Before!$Q:$Q,$B20, Before!$G:$G, "C")
+ COUNTIFS(After!$Q:$Q,$B20, After!$G:$G, "K") + COUNTIFS(After!$Q:$Q,$B20, After!$G:$G, "A") + COUNTIFS(After!$Q:$Q,$B20, After!$G:$G, "B") + COUNTIFS(After!$Q:$Q,$B20, After!$G:$G, "C")</f>
        <v>0</v>
      </c>
      <c r="G20" s="85">
        <f>VLOOKUP($B20, 'Evaluation Set-up'!$K$11:$R$35, 4, FALSE)</f>
        <v>6200</v>
      </c>
      <c r="H20" s="86">
        <f>VLOOKUP($B20, 'Evaluation Set-up'!$K$11:$R$35, 7, FALSE)</f>
        <v>4500</v>
      </c>
      <c r="J20" s="49">
        <v>2017</v>
      </c>
      <c r="K20" s="65">
        <f t="shared" si="0"/>
        <v>9</v>
      </c>
      <c r="L20" s="1" t="str">
        <f>IF(OR(DATE($J20, L$12, 1) &lt; 'Evaluation Set-up'!$D$9, DATE($J20, L$12, 1) &gt;= 'Evaluation Set-up'!$E$9), "", "Before")</f>
        <v>Before</v>
      </c>
      <c r="M20" s="1" t="str">
        <f>IF(OR(DATE($J20, M$12, 1) &lt; 'Evaluation Set-up'!$D$9, DATE($J20, M$12, 1) &gt;= 'Evaluation Set-up'!$E$9), "", "Before")</f>
        <v>Before</v>
      </c>
      <c r="N20" s="1" t="str">
        <f>IF(OR(DATE($J20, N$12, 1) &lt; 'Evaluation Set-up'!$D$9, DATE($J20, N$12, 1) &gt;= 'Evaluation Set-up'!$E$9), "", "Before")</f>
        <v>Before</v>
      </c>
      <c r="O20" s="1" t="str">
        <f>IF(OR(DATE($J20, O$12, 1) &lt; 'Evaluation Set-up'!$D$9, DATE($J20, O$12, 1) &gt;= 'Evaluation Set-up'!$E$9), "", "Before")</f>
        <v>Before</v>
      </c>
      <c r="P20" s="1" t="str">
        <f>IF(OR(DATE($J20, P$12, 1) &lt; 'Evaluation Set-up'!$D$9, DATE($J20, P$12, 1) &gt;= 'Evaluation Set-up'!$E$9), "", "Before")</f>
        <v>Before</v>
      </c>
      <c r="Q20" s="1" t="str">
        <f>IF(OR(DATE($J20, Q$12, 1) &lt; 'Evaluation Set-up'!$D$9, DATE($J20, Q$12, 1) &gt;= 'Evaluation Set-up'!$E$9), "", "Before")</f>
        <v>Before</v>
      </c>
      <c r="R20" s="1" t="str">
        <f>IF(OR(DATE($J20, R$12, 1) &lt; 'Evaluation Set-up'!$D$9, DATE($J20, R$12, 1) &gt;= 'Evaluation Set-up'!$E$9), "", "Before")</f>
        <v>Before</v>
      </c>
      <c r="S20" s="1" t="str">
        <f>IF(OR(DATE($J20, S$12, 1) &lt; 'Evaluation Set-up'!$D$9, DATE($J20, S$12, 1) &gt;= 'Evaluation Set-up'!$E$9), "", "Before")</f>
        <v>Before</v>
      </c>
      <c r="T20" s="1" t="str">
        <f>IF(OR(DATE($J20, T$12, 1) &lt; 'Evaluation Set-up'!$D$9, DATE($J20, T$12, 1) &gt;= 'Evaluation Set-up'!$E$9), "", "Before")</f>
        <v>Before</v>
      </c>
      <c r="U20" s="1" t="str">
        <f>IF(OR(DATE($J20, U$12, 1) &lt; 'Evaluation Set-up'!$D$9, DATE($J20, U$12, 1) &gt;= 'Evaluation Set-up'!$E$9), "", "Before")</f>
        <v>Before</v>
      </c>
      <c r="V20" s="1" t="str">
        <f>IF(OR(DATE($J20, V$12, 1) &lt; 'Evaluation Set-up'!$D$9, DATE($J20, V$12, 1) &gt;= 'Evaluation Set-up'!$E$9), "", "Before")</f>
        <v>Before</v>
      </c>
      <c r="W20" s="70" t="str">
        <f>IF(OR(DATE($J20, W$12, 1) &lt; 'Evaluation Set-up'!$D$9, DATE($J20, W$12, 1) &gt;= 'Evaluation Set-up'!$E$9), "", "Before")</f>
        <v>Before</v>
      </c>
      <c r="X20" s="1"/>
      <c r="Y20" s="49">
        <v>2017</v>
      </c>
      <c r="Z20" s="65">
        <f t="shared" si="1"/>
        <v>0</v>
      </c>
      <c r="AA20" s="1" t="str">
        <f>IF(OR(DATE($Y20, L$12, 1) &lt; 'Evaluation Set-up'!$D$11, DATE($Y20, L$12, 1) &gt;= 'Evaluation Set-up'!$E$11), "", "After")</f>
        <v/>
      </c>
      <c r="AB20" s="1" t="str">
        <f>IF(OR(DATE($Y20, M$12, 1) &lt; 'Evaluation Set-up'!$D$11, DATE($Y20, M$12, 1) &gt;= 'Evaluation Set-up'!$E$11), "", "After")</f>
        <v/>
      </c>
      <c r="AC20" s="1" t="str">
        <f>IF(OR(DATE($Y20, N$12, 1) &lt; 'Evaluation Set-up'!$D$11, DATE($Y20, N$12, 1) &gt;= 'Evaluation Set-up'!$E$11), "", "After")</f>
        <v/>
      </c>
      <c r="AD20" s="1" t="str">
        <f>IF(OR(DATE($Y20, O$12, 1) &lt; 'Evaluation Set-up'!$D$11, DATE($Y20, O$12, 1) &gt;= 'Evaluation Set-up'!$E$11), "", "After")</f>
        <v/>
      </c>
      <c r="AE20" s="1" t="str">
        <f>IF(OR(DATE($Y20, P$12, 1) &lt; 'Evaluation Set-up'!$D$11, DATE($Y20, P$12, 1) &gt;= 'Evaluation Set-up'!$E$11), "", "After")</f>
        <v/>
      </c>
      <c r="AF20" s="1" t="str">
        <f>IF(OR(DATE($Y20, Q$12, 1) &lt; 'Evaluation Set-up'!$D$11, DATE($Y20, Q$12, 1) &gt;= 'Evaluation Set-up'!$E$11), "", "After")</f>
        <v/>
      </c>
      <c r="AG20" s="1" t="str">
        <f>IF(OR(DATE($Y20, R$12, 1) &lt; 'Evaluation Set-up'!$D$11, DATE($Y20, R$12, 1) &gt;= 'Evaluation Set-up'!$E$11), "", "After")</f>
        <v/>
      </c>
      <c r="AH20" s="1" t="str">
        <f>IF(OR(DATE($Y20, S$12, 1) &lt; 'Evaluation Set-up'!$D$11, DATE($Y20, S$12, 1) &gt;= 'Evaluation Set-up'!$E$11), "", "After")</f>
        <v/>
      </c>
      <c r="AI20" s="1" t="str">
        <f>IF(OR(DATE($Y20, T$12, 1) &lt; 'Evaluation Set-up'!$D$11, DATE($Y20, T$12, 1) &gt;= 'Evaluation Set-up'!$E$11), "", "After")</f>
        <v/>
      </c>
      <c r="AJ20" s="1" t="str">
        <f>IF(OR(DATE($Y20, U$12, 1) &lt; 'Evaluation Set-up'!$D$11, DATE($Y20, U$12, 1) &gt;= 'Evaluation Set-up'!$E$11), "", "After")</f>
        <v/>
      </c>
      <c r="AK20" s="1" t="str">
        <f>IF(OR(DATE($Y20, V$12, 1) &lt; 'Evaluation Set-up'!$D$11, DATE($Y20, V$12, 1) &gt;= 'Evaluation Set-up'!$E$11), "", "After")</f>
        <v/>
      </c>
      <c r="AL20" s="70" t="str">
        <f>IF(OR(DATE($Y20, W$12, 1) &lt; 'Evaluation Set-up'!$D$11, DATE($Y20, W$12, 1) &gt;= 'Evaluation Set-up'!$E$11), "", "After")</f>
        <v/>
      </c>
    </row>
    <row r="21" spans="2:38">
      <c r="B21" s="77">
        <v>2018</v>
      </c>
      <c r="C21" s="81">
        <f>COUNTIF(Before!$Q:$Q,B21) + COUNTIF(After!$Q:$Q,B21)</f>
        <v>5</v>
      </c>
      <c r="D21" s="34">
        <f>COUNTIFS(Before!$C:$C,"&gt;=23",Before!$C:$C,"&lt;=27", Before!$Q:$Q,B21)+COUNTIFS(Before!$C:$C,"30", Before!$Q:$Q,B21) + COUNTIFS(After!$C:$C,"&gt;=23",After!$C:$C,"&lt;=27", After!$Q:$Q,B21)+COUNTIFS(After!$C:$C,"30", After!$Q:$Q,B21)</f>
        <v>1</v>
      </c>
      <c r="E21" s="34">
        <f>COUNTIFS(Before!$C:$C,"&gt;=21",Before!$C:$C,"&lt;=22", Before!$Q:$Q,B21) + COUNTIFS(After!$C:$C,"&gt;=21",After!$C:$C,"&lt;=22", After!$Q:$Q,B21)</f>
        <v>1</v>
      </c>
      <c r="F21" s="82">
        <f>COUNTIFS(Before!$Q:$Q,$B21, Before!$G:$G, "K") + COUNTIFS(Before!$Q:$Q,$B21, Before!$G:$G, "A") + COUNTIFS(Before!$Q:$Q,$B21, Before!$G:$G, "B") + COUNTIFS(Before!$Q:$Q,$B21, Before!$G:$G, "C")
+ COUNTIFS(After!$Q:$Q,$B21, After!$G:$G, "K") + COUNTIFS(After!$Q:$Q,$B21, After!$G:$G, "A") + COUNTIFS(After!$Q:$Q,$B21, After!$G:$G, "B") + COUNTIFS(After!$Q:$Q,$B21, After!$G:$G, "C")</f>
        <v>2</v>
      </c>
      <c r="G21" s="85">
        <f>VLOOKUP($B21, 'Evaluation Set-up'!$K$11:$R$35, 4, FALSE)</f>
        <v>6700</v>
      </c>
      <c r="H21" s="86">
        <f>VLOOKUP($B21, 'Evaluation Set-up'!$K$11:$R$35, 7, FALSE)</f>
        <v>4600</v>
      </c>
      <c r="J21" s="49">
        <v>2018</v>
      </c>
      <c r="K21" s="65">
        <f t="shared" si="0"/>
        <v>12</v>
      </c>
      <c r="L21" s="1" t="str">
        <f>IF(OR(DATE($J21, L$12, 1) &lt; 'Evaluation Set-up'!$D$9, DATE($J21, L$12, 1) &gt;= 'Evaluation Set-up'!$E$9), "", "Before")</f>
        <v>Before</v>
      </c>
      <c r="M21" s="1" t="str">
        <f>IF(OR(DATE($J21, M$12, 1) &lt; 'Evaluation Set-up'!$D$9, DATE($J21, M$12, 1) &gt;= 'Evaluation Set-up'!$E$9), "", "Before")</f>
        <v>Before</v>
      </c>
      <c r="N21" s="1" t="str">
        <f>IF(OR(DATE($J21, N$12, 1) &lt; 'Evaluation Set-up'!$D$9, DATE($J21, N$12, 1) &gt;= 'Evaluation Set-up'!$E$9), "", "Before")</f>
        <v>Before</v>
      </c>
      <c r="O21" s="1" t="str">
        <f>IF(OR(DATE($J21, O$12, 1) &lt; 'Evaluation Set-up'!$D$9, DATE($J21, O$12, 1) &gt;= 'Evaluation Set-up'!$E$9), "", "Before")</f>
        <v>Before</v>
      </c>
      <c r="P21" s="1" t="str">
        <f>IF(OR(DATE($J21, P$12, 1) &lt; 'Evaluation Set-up'!$D$9, DATE($J21, P$12, 1) &gt;= 'Evaluation Set-up'!$E$9), "", "Before")</f>
        <v>Before</v>
      </c>
      <c r="Q21" s="1" t="str">
        <f>IF(OR(DATE($J21, Q$12, 1) &lt; 'Evaluation Set-up'!$D$9, DATE($J21, Q$12, 1) &gt;= 'Evaluation Set-up'!$E$9), "", "Before")</f>
        <v>Before</v>
      </c>
      <c r="R21" s="1" t="str">
        <f>IF(OR(DATE($J21, R$12, 1) &lt; 'Evaluation Set-up'!$D$9, DATE($J21, R$12, 1) &gt;= 'Evaluation Set-up'!$E$9), "", "Before")</f>
        <v>Before</v>
      </c>
      <c r="S21" s="1" t="str">
        <f>IF(OR(DATE($J21, S$12, 1) &lt; 'Evaluation Set-up'!$D$9, DATE($J21, S$12, 1) &gt;= 'Evaluation Set-up'!$E$9), "", "Before")</f>
        <v>Before</v>
      </c>
      <c r="T21" s="1" t="str">
        <f>IF(OR(DATE($J21, T$12, 1) &lt; 'Evaluation Set-up'!$D$9, DATE($J21, T$12, 1) &gt;= 'Evaluation Set-up'!$E$9), "", "Before")</f>
        <v>Before</v>
      </c>
      <c r="U21" s="1" t="str">
        <f>IF(OR(DATE($J21, U$12, 1) &lt; 'Evaluation Set-up'!$D$9, DATE($J21, U$12, 1) &gt;= 'Evaluation Set-up'!$E$9), "", "Before")</f>
        <v>Before</v>
      </c>
      <c r="V21" s="1" t="str">
        <f>IF(OR(DATE($J21, V$12, 1) &lt; 'Evaluation Set-up'!$D$9, DATE($J21, V$12, 1) &gt;= 'Evaluation Set-up'!$E$9), "", "Before")</f>
        <v>Before</v>
      </c>
      <c r="W21" s="70" t="str">
        <f>IF(OR(DATE($J21, W$12, 1) &lt; 'Evaluation Set-up'!$D$9, DATE($J21, W$12, 1) &gt;= 'Evaluation Set-up'!$E$9), "", "Before")</f>
        <v>Before</v>
      </c>
      <c r="X21" s="1"/>
      <c r="Y21" s="49">
        <v>2018</v>
      </c>
      <c r="Z21" s="65">
        <f t="shared" si="1"/>
        <v>0</v>
      </c>
      <c r="AA21" s="1" t="str">
        <f>IF(OR(DATE($Y21, L$12, 1) &lt; 'Evaluation Set-up'!$D$11, DATE($Y21, L$12, 1) &gt;= 'Evaluation Set-up'!$E$11), "", "After")</f>
        <v/>
      </c>
      <c r="AB21" s="1" t="str">
        <f>IF(OR(DATE($Y21, M$12, 1) &lt; 'Evaluation Set-up'!$D$11, DATE($Y21, M$12, 1) &gt;= 'Evaluation Set-up'!$E$11), "", "After")</f>
        <v/>
      </c>
      <c r="AC21" s="1" t="str">
        <f>IF(OR(DATE($Y21, N$12, 1) &lt; 'Evaluation Set-up'!$D$11, DATE($Y21, N$12, 1) &gt;= 'Evaluation Set-up'!$E$11), "", "After")</f>
        <v/>
      </c>
      <c r="AD21" s="1" t="str">
        <f>IF(OR(DATE($Y21, O$12, 1) &lt; 'Evaluation Set-up'!$D$11, DATE($Y21, O$12, 1) &gt;= 'Evaluation Set-up'!$E$11), "", "After")</f>
        <v/>
      </c>
      <c r="AE21" s="1" t="str">
        <f>IF(OR(DATE($Y21, P$12, 1) &lt; 'Evaluation Set-up'!$D$11, DATE($Y21, P$12, 1) &gt;= 'Evaluation Set-up'!$E$11), "", "After")</f>
        <v/>
      </c>
      <c r="AF21" s="1" t="str">
        <f>IF(OR(DATE($Y21, Q$12, 1) &lt; 'Evaluation Set-up'!$D$11, DATE($Y21, Q$12, 1) &gt;= 'Evaluation Set-up'!$E$11), "", "After")</f>
        <v/>
      </c>
      <c r="AG21" s="1" t="str">
        <f>IF(OR(DATE($Y21, R$12, 1) &lt; 'Evaluation Set-up'!$D$11, DATE($Y21, R$12, 1) &gt;= 'Evaluation Set-up'!$E$11), "", "After")</f>
        <v/>
      </c>
      <c r="AH21" s="1" t="str">
        <f>IF(OR(DATE($Y21, S$12, 1) &lt; 'Evaluation Set-up'!$D$11, DATE($Y21, S$12, 1) &gt;= 'Evaluation Set-up'!$E$11), "", "After")</f>
        <v/>
      </c>
      <c r="AI21" s="1" t="str">
        <f>IF(OR(DATE($Y21, T$12, 1) &lt; 'Evaluation Set-up'!$D$11, DATE($Y21, T$12, 1) &gt;= 'Evaluation Set-up'!$E$11), "", "After")</f>
        <v/>
      </c>
      <c r="AJ21" s="1" t="str">
        <f>IF(OR(DATE($Y21, U$12, 1) &lt; 'Evaluation Set-up'!$D$11, DATE($Y21, U$12, 1) &gt;= 'Evaluation Set-up'!$E$11), "", "After")</f>
        <v/>
      </c>
      <c r="AK21" s="1" t="str">
        <f>IF(OR(DATE($Y21, V$12, 1) &lt; 'Evaluation Set-up'!$D$11, DATE($Y21, V$12, 1) &gt;= 'Evaluation Set-up'!$E$11), "", "After")</f>
        <v/>
      </c>
      <c r="AL21" s="70" t="str">
        <f>IF(OR(DATE($Y21, W$12, 1) &lt; 'Evaluation Set-up'!$D$11, DATE($Y21, W$12, 1) &gt;= 'Evaluation Set-up'!$E$11), "", "After")</f>
        <v/>
      </c>
    </row>
    <row r="22" spans="2:38">
      <c r="B22" s="77">
        <v>2019</v>
      </c>
      <c r="C22" s="81">
        <f>COUNTIF(Before!$Q:$Q,B22) + COUNTIF(After!$Q:$Q,B22)</f>
        <v>2</v>
      </c>
      <c r="D22" s="34">
        <f>COUNTIFS(Before!$C:$C,"&gt;=23",Before!$C:$C,"&lt;=27", Before!$Q:$Q,B22)+COUNTIFS(Before!$C:$C,"30", Before!$Q:$Q,B22) + COUNTIFS(After!$C:$C,"&gt;=23",After!$C:$C,"&lt;=27", After!$Q:$Q,B22)+COUNTIFS(After!$C:$C,"30", After!$Q:$Q,B22)</f>
        <v>1</v>
      </c>
      <c r="E22" s="34">
        <f>COUNTIFS(Before!$C:$C,"&gt;=21",Before!$C:$C,"&lt;=22", Before!$Q:$Q,B22) + COUNTIFS(After!$C:$C,"&gt;=21",After!$C:$C,"&lt;=22", After!$Q:$Q,B22)</f>
        <v>1</v>
      </c>
      <c r="F22" s="82">
        <f>COUNTIFS(Before!$Q:$Q,$B22, Before!$G:$G, "K") + COUNTIFS(Before!$Q:$Q,$B22, Before!$G:$G, "A") + COUNTIFS(Before!$Q:$Q,$B22, Before!$G:$G, "B") + COUNTIFS(Before!$Q:$Q,$B22, Before!$G:$G, "C")
+ COUNTIFS(After!$Q:$Q,$B22, After!$G:$G, "K") + COUNTIFS(After!$Q:$Q,$B22, After!$G:$G, "A") + COUNTIFS(After!$Q:$Q,$B22, After!$G:$G, "B") + COUNTIFS(After!$Q:$Q,$B22, After!$G:$G, "C")</f>
        <v>2</v>
      </c>
      <c r="G22" s="85">
        <f>VLOOKUP($B22, 'Evaluation Set-up'!$K$11:$R$35, 4, FALSE)</f>
        <v>7150</v>
      </c>
      <c r="H22" s="86">
        <f>VLOOKUP($B22, 'Evaluation Set-up'!$K$11:$R$35, 7, FALSE)</f>
        <v>4600</v>
      </c>
      <c r="J22" s="49">
        <v>2019</v>
      </c>
      <c r="K22" s="65">
        <f t="shared" si="0"/>
        <v>12</v>
      </c>
      <c r="L22" s="1" t="str">
        <f>IF(OR(DATE($J22, L$12, 1) &lt; 'Evaluation Set-up'!$D$9, DATE($J22, L$12, 1) &gt;= 'Evaluation Set-up'!$E$9), "", "Before")</f>
        <v>Before</v>
      </c>
      <c r="M22" s="1" t="str">
        <f>IF(OR(DATE($J22, M$12, 1) &lt; 'Evaluation Set-up'!$D$9, DATE($J22, M$12, 1) &gt;= 'Evaluation Set-up'!$E$9), "", "Before")</f>
        <v>Before</v>
      </c>
      <c r="N22" s="1" t="str">
        <f>IF(OR(DATE($J22, N$12, 1) &lt; 'Evaluation Set-up'!$D$9, DATE($J22, N$12, 1) &gt;= 'Evaluation Set-up'!$E$9), "", "Before")</f>
        <v>Before</v>
      </c>
      <c r="O22" s="1" t="str">
        <f>IF(OR(DATE($J22, O$12, 1) &lt; 'Evaluation Set-up'!$D$9, DATE($J22, O$12, 1) &gt;= 'Evaluation Set-up'!$E$9), "", "Before")</f>
        <v>Before</v>
      </c>
      <c r="P22" s="1" t="str">
        <f>IF(OR(DATE($J22, P$12, 1) &lt; 'Evaluation Set-up'!$D$9, DATE($J22, P$12, 1) &gt;= 'Evaluation Set-up'!$E$9), "", "Before")</f>
        <v>Before</v>
      </c>
      <c r="Q22" s="1" t="str">
        <f>IF(OR(DATE($J22, Q$12, 1) &lt; 'Evaluation Set-up'!$D$9, DATE($J22, Q$12, 1) &gt;= 'Evaluation Set-up'!$E$9), "", "Before")</f>
        <v>Before</v>
      </c>
      <c r="R22" s="1" t="str">
        <f>IF(OR(DATE($J22, R$12, 1) &lt; 'Evaluation Set-up'!$D$9, DATE($J22, R$12, 1) &gt;= 'Evaluation Set-up'!$E$9), "", "Before")</f>
        <v>Before</v>
      </c>
      <c r="S22" s="1" t="str">
        <f>IF(OR(DATE($J22, S$12, 1) &lt; 'Evaluation Set-up'!$D$9, DATE($J22, S$12, 1) &gt;= 'Evaluation Set-up'!$E$9), "", "Before")</f>
        <v>Before</v>
      </c>
      <c r="T22" s="1" t="str">
        <f>IF(OR(DATE($J22, T$12, 1) &lt; 'Evaluation Set-up'!$D$9, DATE($J22, T$12, 1) &gt;= 'Evaluation Set-up'!$E$9), "", "Before")</f>
        <v>Before</v>
      </c>
      <c r="U22" s="1" t="str">
        <f>IF(OR(DATE($J22, U$12, 1) &lt; 'Evaluation Set-up'!$D$9, DATE($J22, U$12, 1) &gt;= 'Evaluation Set-up'!$E$9), "", "Before")</f>
        <v>Before</v>
      </c>
      <c r="V22" s="1" t="str">
        <f>IF(OR(DATE($J22, V$12, 1) &lt; 'Evaluation Set-up'!$D$9, DATE($J22, V$12, 1) &gt;= 'Evaluation Set-up'!$E$9), "", "Before")</f>
        <v>Before</v>
      </c>
      <c r="W22" s="70" t="str">
        <f>IF(OR(DATE($J22, W$12, 1) &lt; 'Evaluation Set-up'!$D$9, DATE($J22, W$12, 1) &gt;= 'Evaluation Set-up'!$E$9), "", "Before")</f>
        <v>Before</v>
      </c>
      <c r="X22" s="1"/>
      <c r="Y22" s="49">
        <v>2019</v>
      </c>
      <c r="Z22" s="65">
        <f t="shared" si="1"/>
        <v>0</v>
      </c>
      <c r="AA22" s="1" t="str">
        <f>IF(OR(DATE($Y22, L$12, 1) &lt; 'Evaluation Set-up'!$D$11, DATE($Y22, L$12, 1) &gt;= 'Evaluation Set-up'!$E$11), "", "After")</f>
        <v/>
      </c>
      <c r="AB22" s="1" t="str">
        <f>IF(OR(DATE($Y22, M$12, 1) &lt; 'Evaluation Set-up'!$D$11, DATE($Y22, M$12, 1) &gt;= 'Evaluation Set-up'!$E$11), "", "After")</f>
        <v/>
      </c>
      <c r="AC22" s="1" t="str">
        <f>IF(OR(DATE($Y22, N$12, 1) &lt; 'Evaluation Set-up'!$D$11, DATE($Y22, N$12, 1) &gt;= 'Evaluation Set-up'!$E$11), "", "After")</f>
        <v/>
      </c>
      <c r="AD22" s="1" t="str">
        <f>IF(OR(DATE($Y22, O$12, 1) &lt; 'Evaluation Set-up'!$D$11, DATE($Y22, O$12, 1) &gt;= 'Evaluation Set-up'!$E$11), "", "After")</f>
        <v/>
      </c>
      <c r="AE22" s="1" t="str">
        <f>IF(OR(DATE($Y22, P$12, 1) &lt; 'Evaluation Set-up'!$D$11, DATE($Y22, P$12, 1) &gt;= 'Evaluation Set-up'!$E$11), "", "After")</f>
        <v/>
      </c>
      <c r="AF22" s="1" t="str">
        <f>IF(OR(DATE($Y22, Q$12, 1) &lt; 'Evaluation Set-up'!$D$11, DATE($Y22, Q$12, 1) &gt;= 'Evaluation Set-up'!$E$11), "", "After")</f>
        <v/>
      </c>
      <c r="AG22" s="1" t="str">
        <f>IF(OR(DATE($Y22, R$12, 1) &lt; 'Evaluation Set-up'!$D$11, DATE($Y22, R$12, 1) &gt;= 'Evaluation Set-up'!$E$11), "", "After")</f>
        <v/>
      </c>
      <c r="AH22" s="1" t="str">
        <f>IF(OR(DATE($Y22, S$12, 1) &lt; 'Evaluation Set-up'!$D$11, DATE($Y22, S$12, 1) &gt;= 'Evaluation Set-up'!$E$11), "", "After")</f>
        <v/>
      </c>
      <c r="AI22" s="1" t="str">
        <f>IF(OR(DATE($Y22, T$12, 1) &lt; 'Evaluation Set-up'!$D$11, DATE($Y22, T$12, 1) &gt;= 'Evaluation Set-up'!$E$11), "", "After")</f>
        <v/>
      </c>
      <c r="AJ22" s="1" t="str">
        <f>IF(OR(DATE($Y22, U$12, 1) &lt; 'Evaluation Set-up'!$D$11, DATE($Y22, U$12, 1) &gt;= 'Evaluation Set-up'!$E$11), "", "After")</f>
        <v/>
      </c>
      <c r="AK22" s="1" t="str">
        <f>IF(OR(DATE($Y22, V$12, 1) &lt; 'Evaluation Set-up'!$D$11, DATE($Y22, V$12, 1) &gt;= 'Evaluation Set-up'!$E$11), "", "After")</f>
        <v/>
      </c>
      <c r="AL22" s="70" t="str">
        <f>IF(OR(DATE($Y22, W$12, 1) &lt; 'Evaluation Set-up'!$D$11, DATE($Y22, W$12, 1) &gt;= 'Evaluation Set-up'!$E$11), "", "After")</f>
        <v/>
      </c>
    </row>
    <row r="23" spans="2:38">
      <c r="B23" s="77">
        <v>2020</v>
      </c>
      <c r="C23" s="81">
        <f>COUNTIF(Before!$Q:$Q,B23) + COUNTIF(After!$Q:$Q,B23)</f>
        <v>4</v>
      </c>
      <c r="D23" s="34">
        <f>COUNTIFS(Before!$C:$C,"&gt;=23",Before!$C:$C,"&lt;=27", Before!$Q:$Q,B23)+COUNTIFS(Before!$C:$C,"30", Before!$Q:$Q,B23) + COUNTIFS(After!$C:$C,"&gt;=23",After!$C:$C,"&lt;=27", After!$Q:$Q,B23)+COUNTIFS(After!$C:$C,"30", After!$Q:$Q,B23)</f>
        <v>1</v>
      </c>
      <c r="E23" s="34">
        <f>COUNTIFS(Before!$C:$C,"&gt;=21",Before!$C:$C,"&lt;=22", Before!$Q:$Q,B23) + COUNTIFS(After!$C:$C,"&gt;=21",After!$C:$C,"&lt;=22", After!$Q:$Q,B23)</f>
        <v>1</v>
      </c>
      <c r="F23" s="82">
        <f>COUNTIFS(Before!$Q:$Q,$B23, Before!$G:$G, "K") + COUNTIFS(Before!$Q:$Q,$B23, Before!$G:$G, "A") + COUNTIFS(Before!$Q:$Q,$B23, Before!$G:$G, "B") + COUNTIFS(Before!$Q:$Q,$B23, Before!$G:$G, "C")
+ COUNTIFS(After!$Q:$Q,$B23, After!$G:$G, "K") + COUNTIFS(After!$Q:$Q,$B23, After!$G:$G, "A") + COUNTIFS(After!$Q:$Q,$B23, After!$G:$G, "B") + COUNTIFS(After!$Q:$Q,$B23, After!$G:$G, "C")</f>
        <v>1</v>
      </c>
      <c r="G23" s="85">
        <f>VLOOKUP($B23, 'Evaluation Set-up'!$K$11:$R$35, 4, FALSE)</f>
        <v>6150</v>
      </c>
      <c r="H23" s="86">
        <f>VLOOKUP($B23, 'Evaluation Set-up'!$K$11:$R$35, 7, FALSE)</f>
        <v>3850</v>
      </c>
      <c r="J23" s="49">
        <v>2020</v>
      </c>
      <c r="K23" s="65">
        <f t="shared" si="0"/>
        <v>12</v>
      </c>
      <c r="L23" s="1" t="str">
        <f>IF(OR(DATE($J23, L$12, 1) &lt; 'Evaluation Set-up'!$D$9, DATE($J23, L$12, 1) &gt;= 'Evaluation Set-up'!$E$9), "", "Before")</f>
        <v>Before</v>
      </c>
      <c r="M23" s="1" t="str">
        <f>IF(OR(DATE($J23, M$12, 1) &lt; 'Evaluation Set-up'!$D$9, DATE($J23, M$12, 1) &gt;= 'Evaluation Set-up'!$E$9), "", "Before")</f>
        <v>Before</v>
      </c>
      <c r="N23" s="1" t="str">
        <f>IF(OR(DATE($J23, N$12, 1) &lt; 'Evaluation Set-up'!$D$9, DATE($J23, N$12, 1) &gt;= 'Evaluation Set-up'!$E$9), "", "Before")</f>
        <v>Before</v>
      </c>
      <c r="O23" s="1" t="str">
        <f>IF(OR(DATE($J23, O$12, 1) &lt; 'Evaluation Set-up'!$D$9, DATE($J23, O$12, 1) &gt;= 'Evaluation Set-up'!$E$9), "", "Before")</f>
        <v>Before</v>
      </c>
      <c r="P23" s="1" t="str">
        <f>IF(OR(DATE($J23, P$12, 1) &lt; 'Evaluation Set-up'!$D$9, DATE($J23, P$12, 1) &gt;= 'Evaluation Set-up'!$E$9), "", "Before")</f>
        <v>Before</v>
      </c>
      <c r="Q23" s="1" t="str">
        <f>IF(OR(DATE($J23, Q$12, 1) &lt; 'Evaluation Set-up'!$D$9, DATE($J23, Q$12, 1) &gt;= 'Evaluation Set-up'!$E$9), "", "Before")</f>
        <v>Before</v>
      </c>
      <c r="R23" s="1" t="str">
        <f>IF(OR(DATE($J23, R$12, 1) &lt; 'Evaluation Set-up'!$D$9, DATE($J23, R$12, 1) &gt;= 'Evaluation Set-up'!$E$9), "", "Before")</f>
        <v>Before</v>
      </c>
      <c r="S23" s="1" t="str">
        <f>IF(OR(DATE($J23, S$12, 1) &lt; 'Evaluation Set-up'!$D$9, DATE($J23, S$12, 1) &gt;= 'Evaluation Set-up'!$E$9), "", "Before")</f>
        <v>Before</v>
      </c>
      <c r="T23" s="1" t="str">
        <f>IF(OR(DATE($J23, T$12, 1) &lt; 'Evaluation Set-up'!$D$9, DATE($J23, T$12, 1) &gt;= 'Evaluation Set-up'!$E$9), "", "Before")</f>
        <v>Before</v>
      </c>
      <c r="U23" s="1" t="str">
        <f>IF(OR(DATE($J23, U$12, 1) &lt; 'Evaluation Set-up'!$D$9, DATE($J23, U$12, 1) &gt;= 'Evaluation Set-up'!$E$9), "", "Before")</f>
        <v>Before</v>
      </c>
      <c r="V23" s="1" t="str">
        <f>IF(OR(DATE($J23, V$12, 1) &lt; 'Evaluation Set-up'!$D$9, DATE($J23, V$12, 1) &gt;= 'Evaluation Set-up'!$E$9), "", "Before")</f>
        <v>Before</v>
      </c>
      <c r="W23" s="70" t="str">
        <f>IF(OR(DATE($J23, W$12, 1) &lt; 'Evaluation Set-up'!$D$9, DATE($J23, W$12, 1) &gt;= 'Evaluation Set-up'!$E$9), "", "Before")</f>
        <v>Before</v>
      </c>
      <c r="X23" s="1"/>
      <c r="Y23" s="49">
        <v>2020</v>
      </c>
      <c r="Z23" s="65">
        <f t="shared" si="1"/>
        <v>0</v>
      </c>
      <c r="AA23" s="1" t="str">
        <f>IF(OR(DATE($Y23, L$12, 1) &lt; 'Evaluation Set-up'!$D$11, DATE($Y23, L$12, 1) &gt;= 'Evaluation Set-up'!$E$11), "", "After")</f>
        <v/>
      </c>
      <c r="AB23" s="1" t="str">
        <f>IF(OR(DATE($Y23, M$12, 1) &lt; 'Evaluation Set-up'!$D$11, DATE($Y23, M$12, 1) &gt;= 'Evaluation Set-up'!$E$11), "", "After")</f>
        <v/>
      </c>
      <c r="AC23" s="1" t="str">
        <f>IF(OR(DATE($Y23, N$12, 1) &lt; 'Evaluation Set-up'!$D$11, DATE($Y23, N$12, 1) &gt;= 'Evaluation Set-up'!$E$11), "", "After")</f>
        <v/>
      </c>
      <c r="AD23" s="1" t="str">
        <f>IF(OR(DATE($Y23, O$12, 1) &lt; 'Evaluation Set-up'!$D$11, DATE($Y23, O$12, 1) &gt;= 'Evaluation Set-up'!$E$11), "", "After")</f>
        <v/>
      </c>
      <c r="AE23" s="1" t="str">
        <f>IF(OR(DATE($Y23, P$12, 1) &lt; 'Evaluation Set-up'!$D$11, DATE($Y23, P$12, 1) &gt;= 'Evaluation Set-up'!$E$11), "", "After")</f>
        <v/>
      </c>
      <c r="AF23" s="1" t="str">
        <f>IF(OR(DATE($Y23, Q$12, 1) &lt; 'Evaluation Set-up'!$D$11, DATE($Y23, Q$12, 1) &gt;= 'Evaluation Set-up'!$E$11), "", "After")</f>
        <v/>
      </c>
      <c r="AG23" s="1" t="str">
        <f>IF(OR(DATE($Y23, R$12, 1) &lt; 'Evaluation Set-up'!$D$11, DATE($Y23, R$12, 1) &gt;= 'Evaluation Set-up'!$E$11), "", "After")</f>
        <v/>
      </c>
      <c r="AH23" s="1" t="str">
        <f>IF(OR(DATE($Y23, S$12, 1) &lt; 'Evaluation Set-up'!$D$11, DATE($Y23, S$12, 1) &gt;= 'Evaluation Set-up'!$E$11), "", "After")</f>
        <v/>
      </c>
      <c r="AI23" s="1" t="str">
        <f>IF(OR(DATE($Y23, T$12, 1) &lt; 'Evaluation Set-up'!$D$11, DATE($Y23, T$12, 1) &gt;= 'Evaluation Set-up'!$E$11), "", "After")</f>
        <v/>
      </c>
      <c r="AJ23" s="1" t="str">
        <f>IF(OR(DATE($Y23, U$12, 1) &lt; 'Evaluation Set-up'!$D$11, DATE($Y23, U$12, 1) &gt;= 'Evaluation Set-up'!$E$11), "", "After")</f>
        <v/>
      </c>
      <c r="AK23" s="1" t="str">
        <f>IF(OR(DATE($Y23, V$12, 1) &lt; 'Evaluation Set-up'!$D$11, DATE($Y23, V$12, 1) &gt;= 'Evaluation Set-up'!$E$11), "", "After")</f>
        <v/>
      </c>
      <c r="AL23" s="70" t="str">
        <f>IF(OR(DATE($Y23, W$12, 1) &lt; 'Evaluation Set-up'!$D$11, DATE($Y23, W$12, 1) &gt;= 'Evaluation Set-up'!$E$11), "", "After")</f>
        <v/>
      </c>
    </row>
    <row r="24" spans="2:38">
      <c r="B24" s="77">
        <v>2021</v>
      </c>
      <c r="C24" s="81">
        <f>COUNTIF(Before!$Q:$Q,B24) + COUNTIF(After!$Q:$Q,B24)</f>
        <v>4</v>
      </c>
      <c r="D24" s="34">
        <f>COUNTIFS(Before!$C:$C,"&gt;=23",Before!$C:$C,"&lt;=27", Before!$Q:$Q,B24)+COUNTIFS(Before!$C:$C,"30", Before!$Q:$Q,B24) + COUNTIFS(After!$C:$C,"&gt;=23",After!$C:$C,"&lt;=27", After!$Q:$Q,B24)+COUNTIFS(After!$C:$C,"30", After!$Q:$Q,B24)</f>
        <v>3</v>
      </c>
      <c r="E24" s="34">
        <f>COUNTIFS(Before!$C:$C,"&gt;=21",Before!$C:$C,"&lt;=22", Before!$Q:$Q,B24) + COUNTIFS(After!$C:$C,"&gt;=21",After!$C:$C,"&lt;=22", After!$Q:$Q,B24)</f>
        <v>1</v>
      </c>
      <c r="F24" s="82">
        <f>COUNTIFS(Before!$Q:$Q,$B24, Before!$G:$G, "K") + COUNTIFS(Before!$Q:$Q,$B24, Before!$G:$G, "A") + COUNTIFS(Before!$Q:$Q,$B24, Before!$G:$G, "B") + COUNTIFS(Before!$Q:$Q,$B24, Before!$G:$G, "C")
+ COUNTIFS(After!$Q:$Q,$B24, After!$G:$G, "K") + COUNTIFS(After!$Q:$Q,$B24, After!$G:$G, "A") + COUNTIFS(After!$Q:$Q,$B24, After!$G:$G, "B") + COUNTIFS(After!$Q:$Q,$B24, After!$G:$G, "C")</f>
        <v>0</v>
      </c>
      <c r="G24" s="85">
        <f>VLOOKUP($B24, 'Evaluation Set-up'!$K$11:$R$35, 4, FALSE)</f>
        <v>7250</v>
      </c>
      <c r="H24" s="86">
        <f>VLOOKUP($B24, 'Evaluation Set-up'!$K$11:$R$35, 7, FALSE)</f>
        <v>4450</v>
      </c>
      <c r="J24" s="49">
        <v>2021</v>
      </c>
      <c r="K24" s="65">
        <f t="shared" si="0"/>
        <v>4</v>
      </c>
      <c r="L24" s="1" t="str">
        <f>IF(OR(DATE($J24, L$12, 1) &lt; 'Evaluation Set-up'!$D$9, DATE($J24, L$12, 1) &gt;= 'Evaluation Set-up'!$E$9), "", "Before")</f>
        <v>Before</v>
      </c>
      <c r="M24" s="1" t="str">
        <f>IF(OR(DATE($J24, M$12, 1) &lt; 'Evaluation Set-up'!$D$9, DATE($J24, M$12, 1) &gt;= 'Evaluation Set-up'!$E$9), "", "Before")</f>
        <v>Before</v>
      </c>
      <c r="N24" s="1" t="str">
        <f>IF(OR(DATE($J24, N$12, 1) &lt; 'Evaluation Set-up'!$D$9, DATE($J24, N$12, 1) &gt;= 'Evaluation Set-up'!$E$9), "", "Before")</f>
        <v>Before</v>
      </c>
      <c r="O24" s="1" t="str">
        <f>IF(OR(DATE($J24, O$12, 1) &lt; 'Evaluation Set-up'!$D$9, DATE($J24, O$12, 1) &gt;= 'Evaluation Set-up'!$E$9), "", "Before")</f>
        <v>Before</v>
      </c>
      <c r="P24" s="1" t="str">
        <f>IF(OR(DATE($J24, P$12, 1) &lt; 'Evaluation Set-up'!$D$9, DATE($J24, P$12, 1) &gt;= 'Evaluation Set-up'!$E$9), "", "Before")</f>
        <v>Before</v>
      </c>
      <c r="Q24" s="1" t="str">
        <f>IF(OR(DATE($J24, Q$12, 1) &lt; 'Evaluation Set-up'!$D$9, DATE($J24, Q$12, 1) &gt;= 'Evaluation Set-up'!$E$9), "", "Before")</f>
        <v>Before</v>
      </c>
      <c r="R24" s="1" t="str">
        <f>IF(OR(DATE($J24, R$12, 1) &lt; 'Evaluation Set-up'!$D$9, DATE($J24, R$12, 1) &gt;= 'Evaluation Set-up'!$E$9), "", "Before")</f>
        <v>Before</v>
      </c>
      <c r="S24" s="1" t="str">
        <f>IF(OR(DATE($J24, S$12, 1) &lt; 'Evaluation Set-up'!$D$9, DATE($J24, S$12, 1) &gt;= 'Evaluation Set-up'!$E$9), "", "Before")</f>
        <v>Before</v>
      </c>
      <c r="T24" s="1" t="str">
        <f>IF(OR(DATE($J24, T$12, 1) &lt; 'Evaluation Set-up'!$D$9, DATE($J24, T$12, 1) &gt;= 'Evaluation Set-up'!$E$9), "", "Before")</f>
        <v/>
      </c>
      <c r="U24" s="1" t="str">
        <f>IF(OR(DATE($J24, U$12, 1) &lt; 'Evaluation Set-up'!$D$9, DATE($J24, U$12, 1) &gt;= 'Evaluation Set-up'!$E$9), "", "Before")</f>
        <v/>
      </c>
      <c r="V24" s="1" t="str">
        <f>IF(OR(DATE($J24, V$12, 1) &lt; 'Evaluation Set-up'!$D$9, DATE($J24, V$12, 1) &gt;= 'Evaluation Set-up'!$E$9), "", "Before")</f>
        <v/>
      </c>
      <c r="W24" s="70" t="str">
        <f>IF(OR(DATE($J24, W$12, 1) &lt; 'Evaluation Set-up'!$D$9, DATE($J24, W$12, 1) &gt;= 'Evaluation Set-up'!$E$9), "", "Before")</f>
        <v/>
      </c>
      <c r="X24" s="1"/>
      <c r="Y24" s="49">
        <v>2021</v>
      </c>
      <c r="Z24" s="65">
        <f t="shared" si="1"/>
        <v>0</v>
      </c>
      <c r="AA24" s="1" t="str">
        <f>IF(OR(DATE($Y24, L$12, 1) &lt; 'Evaluation Set-up'!$D$11, DATE($Y24, L$12, 1) &gt;= 'Evaluation Set-up'!$E$11), "", "After")</f>
        <v/>
      </c>
      <c r="AB24" s="1" t="str">
        <f>IF(OR(DATE($Y24, M$12, 1) &lt; 'Evaluation Set-up'!$D$11, DATE($Y24, M$12, 1) &gt;= 'Evaluation Set-up'!$E$11), "", "After")</f>
        <v/>
      </c>
      <c r="AC24" s="1" t="str">
        <f>IF(OR(DATE($Y24, N$12, 1) &lt; 'Evaluation Set-up'!$D$11, DATE($Y24, N$12, 1) &gt;= 'Evaluation Set-up'!$E$11), "", "After")</f>
        <v/>
      </c>
      <c r="AD24" s="1" t="str">
        <f>IF(OR(DATE($Y24, O$12, 1) &lt; 'Evaluation Set-up'!$D$11, DATE($Y24, O$12, 1) &gt;= 'Evaluation Set-up'!$E$11), "", "After")</f>
        <v/>
      </c>
      <c r="AE24" s="1" t="str">
        <f>IF(OR(DATE($Y24, P$12, 1) &lt; 'Evaluation Set-up'!$D$11, DATE($Y24, P$12, 1) &gt;= 'Evaluation Set-up'!$E$11), "", "After")</f>
        <v/>
      </c>
      <c r="AF24" s="1" t="str">
        <f>IF(OR(DATE($Y24, Q$12, 1) &lt; 'Evaluation Set-up'!$D$11, DATE($Y24, Q$12, 1) &gt;= 'Evaluation Set-up'!$E$11), "", "After")</f>
        <v/>
      </c>
      <c r="AG24" s="1" t="str">
        <f>IF(OR(DATE($Y24, R$12, 1) &lt; 'Evaluation Set-up'!$D$11, DATE($Y24, R$12, 1) &gt;= 'Evaluation Set-up'!$E$11), "", "After")</f>
        <v/>
      </c>
      <c r="AH24" s="1" t="str">
        <f>IF(OR(DATE($Y24, S$12, 1) &lt; 'Evaluation Set-up'!$D$11, DATE($Y24, S$12, 1) &gt;= 'Evaluation Set-up'!$E$11), "", "After")</f>
        <v/>
      </c>
      <c r="AI24" s="1" t="str">
        <f>IF(OR(DATE($Y24, T$12, 1) &lt; 'Evaluation Set-up'!$D$11, DATE($Y24, T$12, 1) &gt;= 'Evaluation Set-up'!$E$11), "", "After")</f>
        <v/>
      </c>
      <c r="AJ24" s="1" t="str">
        <f>IF(OR(DATE($Y24, U$12, 1) &lt; 'Evaluation Set-up'!$D$11, DATE($Y24, U$12, 1) &gt;= 'Evaluation Set-up'!$E$11), "", "After")</f>
        <v/>
      </c>
      <c r="AK24" s="1" t="str">
        <f>IF(OR(DATE($Y24, V$12, 1) &lt; 'Evaluation Set-up'!$D$11, DATE($Y24, V$12, 1) &gt;= 'Evaluation Set-up'!$E$11), "", "After")</f>
        <v/>
      </c>
      <c r="AL24" s="70" t="str">
        <f>IF(OR(DATE($Y24, W$12, 1) &lt; 'Evaluation Set-up'!$D$11, DATE($Y24, W$12, 1) &gt;= 'Evaluation Set-up'!$E$11), "", "After")</f>
        <v>After</v>
      </c>
    </row>
    <row r="25" spans="2:38">
      <c r="B25" s="77">
        <v>2022</v>
      </c>
      <c r="C25" s="81">
        <f>COUNTIF(Before!$Q:$Q,B25) + COUNTIF(After!$Q:$Q,B25)</f>
        <v>7</v>
      </c>
      <c r="D25" s="34">
        <f>COUNTIFS(Before!$C:$C,"&gt;=23",Before!$C:$C,"&lt;=27", Before!$Q:$Q,B25)+COUNTIFS(Before!$C:$C,"30", Before!$Q:$Q,B25) + COUNTIFS(After!$C:$C,"&gt;=23",After!$C:$C,"&lt;=27", After!$Q:$Q,B25)+COUNTIFS(After!$C:$C,"30", After!$Q:$Q,B25)</f>
        <v>5</v>
      </c>
      <c r="E25" s="34">
        <f>COUNTIFS(Before!$C:$C,"&gt;=21",Before!$C:$C,"&lt;=22", Before!$Q:$Q,B25) + COUNTIFS(After!$C:$C,"&gt;=21",After!$C:$C,"&lt;=22", After!$Q:$Q,B25)</f>
        <v>1</v>
      </c>
      <c r="F25" s="82">
        <f>COUNTIFS(Before!$Q:$Q,$B25, Before!$G:$G, "K") + COUNTIFS(Before!$Q:$Q,$B25, Before!$G:$G, "A") + COUNTIFS(Before!$Q:$Q,$B25, Before!$G:$G, "B") + COUNTIFS(Before!$Q:$Q,$B25, Before!$G:$G, "C")
+ COUNTIFS(After!$Q:$Q,$B25, After!$G:$G, "K") + COUNTIFS(After!$Q:$Q,$B25, After!$G:$G, "A") + COUNTIFS(After!$Q:$Q,$B25, After!$G:$G, "B") + COUNTIFS(After!$Q:$Q,$B25, After!$G:$G, "C")</f>
        <v>2</v>
      </c>
      <c r="G25" s="85">
        <f>VLOOKUP($B25, 'Evaluation Set-up'!$K$11:$R$35, 4, FALSE)</f>
        <v>7100</v>
      </c>
      <c r="H25" s="86">
        <f>VLOOKUP($B25, 'Evaluation Set-up'!$K$11:$R$35, 7, FALSE)</f>
        <v>3950</v>
      </c>
      <c r="J25" s="49">
        <v>2022</v>
      </c>
      <c r="K25" s="65">
        <f t="shared" si="0"/>
        <v>0</v>
      </c>
      <c r="L25" s="1" t="str">
        <f>IF(OR(DATE($J25, L$12, 1) &lt; 'Evaluation Set-up'!$D$9, DATE($J25, L$12, 1) &gt;= 'Evaluation Set-up'!$E$9), "", "Before")</f>
        <v/>
      </c>
      <c r="M25" s="1" t="str">
        <f>IF(OR(DATE($J25, M$12, 1) &lt; 'Evaluation Set-up'!$D$9, DATE($J25, M$12, 1) &gt;= 'Evaluation Set-up'!$E$9), "", "Before")</f>
        <v/>
      </c>
      <c r="N25" s="1" t="str">
        <f>IF(OR(DATE($J25, N$12, 1) &lt; 'Evaluation Set-up'!$D$9, DATE($J25, N$12, 1) &gt;= 'Evaluation Set-up'!$E$9), "", "Before")</f>
        <v/>
      </c>
      <c r="O25" s="1" t="str">
        <f>IF(OR(DATE($J25, O$12, 1) &lt; 'Evaluation Set-up'!$D$9, DATE($J25, O$12, 1) &gt;= 'Evaluation Set-up'!$E$9), "", "Before")</f>
        <v/>
      </c>
      <c r="P25" s="1" t="str">
        <f>IF(OR(DATE($J25, P$12, 1) &lt; 'Evaluation Set-up'!$D$9, DATE($J25, P$12, 1) &gt;= 'Evaluation Set-up'!$E$9), "", "Before")</f>
        <v/>
      </c>
      <c r="Q25" s="1" t="str">
        <f>IF(OR(DATE($J25, Q$12, 1) &lt; 'Evaluation Set-up'!$D$9, DATE($J25, Q$12, 1) &gt;= 'Evaluation Set-up'!$E$9), "", "Before")</f>
        <v/>
      </c>
      <c r="R25" s="1" t="str">
        <f>IF(OR(DATE($J25, R$12, 1) &lt; 'Evaluation Set-up'!$D$9, DATE($J25, R$12, 1) &gt;= 'Evaluation Set-up'!$E$9), "", "Before")</f>
        <v/>
      </c>
      <c r="S25" s="1" t="str">
        <f>IF(OR(DATE($J25, S$12, 1) &lt; 'Evaluation Set-up'!$D$9, DATE($J25, S$12, 1) &gt;= 'Evaluation Set-up'!$E$9), "", "Before")</f>
        <v/>
      </c>
      <c r="T25" s="1" t="str">
        <f>IF(OR(DATE($J25, T$12, 1) &lt; 'Evaluation Set-up'!$D$9, DATE($J25, T$12, 1) &gt;= 'Evaluation Set-up'!$E$9), "", "Before")</f>
        <v/>
      </c>
      <c r="U25" s="1" t="str">
        <f>IF(OR(DATE($J25, U$12, 1) &lt; 'Evaluation Set-up'!$D$9, DATE($J25, U$12, 1) &gt;= 'Evaluation Set-up'!$E$9), "", "Before")</f>
        <v/>
      </c>
      <c r="V25" s="1" t="str">
        <f>IF(OR(DATE($J25, V$12, 1) &lt; 'Evaluation Set-up'!$D$9, DATE($J25, V$12, 1) &gt;= 'Evaluation Set-up'!$E$9), "", "Before")</f>
        <v/>
      </c>
      <c r="W25" s="70" t="str">
        <f>IF(OR(DATE($J25, W$12, 1) &lt; 'Evaluation Set-up'!$D$9, DATE($J25, W$12, 1) &gt;= 'Evaluation Set-up'!$E$9), "", "Before")</f>
        <v/>
      </c>
      <c r="X25" s="1"/>
      <c r="Y25" s="49">
        <v>2022</v>
      </c>
      <c r="Z25" s="65">
        <f t="shared" si="1"/>
        <v>5</v>
      </c>
      <c r="AA25" s="1" t="str">
        <f>IF(OR(DATE($Y25, L$12, 1) &lt; 'Evaluation Set-up'!$D$11, DATE($Y25, L$12, 1) &gt;= 'Evaluation Set-up'!$E$11), "", "After")</f>
        <v>After</v>
      </c>
      <c r="AB25" s="1" t="str">
        <f>IF(OR(DATE($Y25, M$12, 1) &lt; 'Evaluation Set-up'!$D$11, DATE($Y25, M$12, 1) &gt;= 'Evaluation Set-up'!$E$11), "", "After")</f>
        <v>After</v>
      </c>
      <c r="AC25" s="1" t="str">
        <f>IF(OR(DATE($Y25, N$12, 1) &lt; 'Evaluation Set-up'!$D$11, DATE($Y25, N$12, 1) &gt;= 'Evaluation Set-up'!$E$11), "", "After")</f>
        <v>After</v>
      </c>
      <c r="AD25" s="1" t="str">
        <f>IF(OR(DATE($Y25, O$12, 1) &lt; 'Evaluation Set-up'!$D$11, DATE($Y25, O$12, 1) &gt;= 'Evaluation Set-up'!$E$11), "", "After")</f>
        <v>After</v>
      </c>
      <c r="AE25" s="1" t="str">
        <f>IF(OR(DATE($Y25, P$12, 1) &lt; 'Evaluation Set-up'!$D$11, DATE($Y25, P$12, 1) &gt;= 'Evaluation Set-up'!$E$11), "", "After")</f>
        <v>After</v>
      </c>
      <c r="AF25" s="1" t="str">
        <f>IF(OR(DATE($Y25, Q$12, 1) &lt; 'Evaluation Set-up'!$D$11, DATE($Y25, Q$12, 1) &gt;= 'Evaluation Set-up'!$E$11), "", "After")</f>
        <v>After</v>
      </c>
      <c r="AG25" s="1" t="str">
        <f>IF(OR(DATE($Y25, R$12, 1) &lt; 'Evaluation Set-up'!$D$11, DATE($Y25, R$12, 1) &gt;= 'Evaluation Set-up'!$E$11), "", "After")</f>
        <v>After</v>
      </c>
      <c r="AH25" s="1" t="str">
        <f>IF(OR(DATE($Y25, S$12, 1) &lt; 'Evaluation Set-up'!$D$11, DATE($Y25, S$12, 1) &gt;= 'Evaluation Set-up'!$E$11), "", "After")</f>
        <v>After</v>
      </c>
      <c r="AI25" s="1" t="str">
        <f>IF(OR(DATE($Y25, T$12, 1) &lt; 'Evaluation Set-up'!$D$11, DATE($Y25, T$12, 1) &gt;= 'Evaluation Set-up'!$E$11), "", "After")</f>
        <v>After</v>
      </c>
      <c r="AJ25" s="1" t="str">
        <f>IF(OR(DATE($Y25, U$12, 1) &lt; 'Evaluation Set-up'!$D$11, DATE($Y25, U$12, 1) &gt;= 'Evaluation Set-up'!$E$11), "", "After")</f>
        <v>After</v>
      </c>
      <c r="AK25" s="1" t="str">
        <f>IF(OR(DATE($Y25, V$12, 1) &lt; 'Evaluation Set-up'!$D$11, DATE($Y25, V$12, 1) &gt;= 'Evaluation Set-up'!$E$11), "", "After")</f>
        <v>After</v>
      </c>
      <c r="AL25" s="70" t="str">
        <f>IF(OR(DATE($Y25, W$12, 1) &lt; 'Evaluation Set-up'!$D$11, DATE($Y25, W$12, 1) &gt;= 'Evaluation Set-up'!$E$11), "", "After")</f>
        <v>After</v>
      </c>
    </row>
    <row r="26" spans="2:38">
      <c r="B26" s="77">
        <v>2023</v>
      </c>
      <c r="C26" s="81">
        <f>COUNTIF(Before!$Q:$Q,B26) + COUNTIF(After!$Q:$Q,B26)</f>
        <v>11</v>
      </c>
      <c r="D26" s="34">
        <f>COUNTIFS(Before!$C:$C,"&gt;=23",Before!$C:$C,"&lt;=27", Before!$Q:$Q,B26)+COUNTIFS(Before!$C:$C,"30", Before!$Q:$Q,B26) + COUNTIFS(After!$C:$C,"&gt;=23",After!$C:$C,"&lt;=27", After!$Q:$Q,B26)+COUNTIFS(After!$C:$C,"30", After!$Q:$Q,B26)</f>
        <v>7</v>
      </c>
      <c r="E26" s="34">
        <f>COUNTIFS(Before!$C:$C,"&gt;=21",Before!$C:$C,"&lt;=22", Before!$Q:$Q,B26) + COUNTIFS(After!$C:$C,"&gt;=21",After!$C:$C,"&lt;=22", After!$Q:$Q,B26)</f>
        <v>4</v>
      </c>
      <c r="F26" s="82">
        <f>COUNTIFS(Before!$Q:$Q,$B26, Before!$G:$G, "K") + COUNTIFS(Before!$Q:$Q,$B26, Before!$G:$G, "A") + COUNTIFS(Before!$Q:$Q,$B26, Before!$G:$G, "B") + COUNTIFS(Before!$Q:$Q,$B26, Before!$G:$G, "C")
+ COUNTIFS(After!$Q:$Q,$B26, After!$G:$G, "K") + COUNTIFS(After!$Q:$Q,$B26, After!$G:$G, "A") + COUNTIFS(After!$Q:$Q,$B26, After!$G:$G, "B") + COUNTIFS(After!$Q:$Q,$B26, After!$G:$G, "C")</f>
        <v>4</v>
      </c>
      <c r="G26" s="85">
        <f>VLOOKUP($B26, 'Evaluation Set-up'!$K$11:$R$35, 4, FALSE)</f>
        <v>6900</v>
      </c>
      <c r="H26" s="86">
        <f>VLOOKUP($B26, 'Evaluation Set-up'!$K$11:$R$35, 7, FALSE)</f>
        <v>3400</v>
      </c>
      <c r="J26" s="49">
        <v>2023</v>
      </c>
      <c r="K26" s="65">
        <f t="shared" si="0"/>
        <v>0</v>
      </c>
      <c r="L26" s="1" t="str">
        <f>IF(OR(DATE($J26, L$12, 1) &lt; 'Evaluation Set-up'!$D$9, DATE($J26, L$12, 1) &gt;= 'Evaluation Set-up'!$E$9), "", "Before")</f>
        <v/>
      </c>
      <c r="M26" s="1" t="str">
        <f>IF(OR(DATE($J26, M$12, 1) &lt; 'Evaluation Set-up'!$D$9, DATE($J26, M$12, 1) &gt;= 'Evaluation Set-up'!$E$9), "", "Before")</f>
        <v/>
      </c>
      <c r="N26" s="1" t="str">
        <f>IF(OR(DATE($J26, N$12, 1) &lt; 'Evaluation Set-up'!$D$9, DATE($J26, N$12, 1) &gt;= 'Evaluation Set-up'!$E$9), "", "Before")</f>
        <v/>
      </c>
      <c r="O26" s="1" t="str">
        <f>IF(OR(DATE($J26, O$12, 1) &lt; 'Evaluation Set-up'!$D$9, DATE($J26, O$12, 1) &gt;= 'Evaluation Set-up'!$E$9), "", "Before")</f>
        <v/>
      </c>
      <c r="P26" s="1" t="str">
        <f>IF(OR(DATE($J26, P$12, 1) &lt; 'Evaluation Set-up'!$D$9, DATE($J26, P$12, 1) &gt;= 'Evaluation Set-up'!$E$9), "", "Before")</f>
        <v/>
      </c>
      <c r="Q26" s="1" t="str">
        <f>IF(OR(DATE($J26, Q$12, 1) &lt; 'Evaluation Set-up'!$D$9, DATE($J26, Q$12, 1) &gt;= 'Evaluation Set-up'!$E$9), "", "Before")</f>
        <v/>
      </c>
      <c r="R26" s="1" t="str">
        <f>IF(OR(DATE($J26, R$12, 1) &lt; 'Evaluation Set-up'!$D$9, DATE($J26, R$12, 1) &gt;= 'Evaluation Set-up'!$E$9), "", "Before")</f>
        <v/>
      </c>
      <c r="S26" s="1" t="str">
        <f>IF(OR(DATE($J26, S$12, 1) &lt; 'Evaluation Set-up'!$D$9, DATE($J26, S$12, 1) &gt;= 'Evaluation Set-up'!$E$9), "", "Before")</f>
        <v/>
      </c>
      <c r="T26" s="1" t="str">
        <f>IF(OR(DATE($J26, T$12, 1) &lt; 'Evaluation Set-up'!$D$9, DATE($J26, T$12, 1) &gt;= 'Evaluation Set-up'!$E$9), "", "Before")</f>
        <v/>
      </c>
      <c r="U26" s="1" t="str">
        <f>IF(OR(DATE($J26, U$12, 1) &lt; 'Evaluation Set-up'!$D$9, DATE($J26, U$12, 1) &gt;= 'Evaluation Set-up'!$E$9), "", "Before")</f>
        <v/>
      </c>
      <c r="V26" s="1" t="str">
        <f>IF(OR(DATE($J26, V$12, 1) &lt; 'Evaluation Set-up'!$D$9, DATE($J26, V$12, 1) &gt;= 'Evaluation Set-up'!$E$9), "", "Before")</f>
        <v/>
      </c>
      <c r="W26" s="70" t="str">
        <f>IF(OR(DATE($J26, W$12, 1) &lt; 'Evaluation Set-up'!$D$9, DATE($J26, W$12, 1) &gt;= 'Evaluation Set-up'!$E$9), "", "Before")</f>
        <v/>
      </c>
      <c r="X26" s="1"/>
      <c r="Y26" s="49">
        <v>2023</v>
      </c>
      <c r="Z26" s="65">
        <f t="shared" si="1"/>
        <v>12</v>
      </c>
      <c r="AA26" s="1" t="str">
        <f>IF(OR(DATE($Y26, L$12, 1) &lt; 'Evaluation Set-up'!$D$11, DATE($Y26, L$12, 1) &gt;= 'Evaluation Set-up'!$E$11), "", "After")</f>
        <v>After</v>
      </c>
      <c r="AB26" s="1" t="str">
        <f>IF(OR(DATE($Y26, M$12, 1) &lt; 'Evaluation Set-up'!$D$11, DATE($Y26, M$12, 1) &gt;= 'Evaluation Set-up'!$E$11), "", "After")</f>
        <v>After</v>
      </c>
      <c r="AC26" s="1" t="str">
        <f>IF(OR(DATE($Y26, N$12, 1) &lt; 'Evaluation Set-up'!$D$11, DATE($Y26, N$12, 1) &gt;= 'Evaluation Set-up'!$E$11), "", "After")</f>
        <v>After</v>
      </c>
      <c r="AD26" s="1" t="str">
        <f>IF(OR(DATE($Y26, O$12, 1) &lt; 'Evaluation Set-up'!$D$11, DATE($Y26, O$12, 1) &gt;= 'Evaluation Set-up'!$E$11), "", "After")</f>
        <v>After</v>
      </c>
      <c r="AE26" s="1" t="str">
        <f>IF(OR(DATE($Y26, P$12, 1) &lt; 'Evaluation Set-up'!$D$11, DATE($Y26, P$12, 1) &gt;= 'Evaluation Set-up'!$E$11), "", "After")</f>
        <v>After</v>
      </c>
      <c r="AF26" s="1" t="str">
        <f>IF(OR(DATE($Y26, Q$12, 1) &lt; 'Evaluation Set-up'!$D$11, DATE($Y26, Q$12, 1) &gt;= 'Evaluation Set-up'!$E$11), "", "After")</f>
        <v>After</v>
      </c>
      <c r="AG26" s="1" t="str">
        <f>IF(OR(DATE($Y26, R$12, 1) &lt; 'Evaluation Set-up'!$D$11, DATE($Y26, R$12, 1) &gt;= 'Evaluation Set-up'!$E$11), "", "After")</f>
        <v>After</v>
      </c>
      <c r="AH26" s="1" t="str">
        <f>IF(OR(DATE($Y26, S$12, 1) &lt; 'Evaluation Set-up'!$D$11, DATE($Y26, S$12, 1) &gt;= 'Evaluation Set-up'!$E$11), "", "After")</f>
        <v>After</v>
      </c>
      <c r="AI26" s="1" t="str">
        <f>IF(OR(DATE($Y26, T$12, 1) &lt; 'Evaluation Set-up'!$D$11, DATE($Y26, T$12, 1) &gt;= 'Evaluation Set-up'!$E$11), "", "After")</f>
        <v>After</v>
      </c>
      <c r="AJ26" s="1" t="str">
        <f>IF(OR(DATE($Y26, U$12, 1) &lt; 'Evaluation Set-up'!$D$11, DATE($Y26, U$12, 1) &gt;= 'Evaluation Set-up'!$E$11), "", "After")</f>
        <v>After</v>
      </c>
      <c r="AK26" s="1" t="str">
        <f>IF(OR(DATE($Y26, V$12, 1) &lt; 'Evaluation Set-up'!$D$11, DATE($Y26, V$12, 1) &gt;= 'Evaluation Set-up'!$E$11), "", "After")</f>
        <v>After</v>
      </c>
      <c r="AL26" s="70" t="str">
        <f>IF(OR(DATE($Y26, W$12, 1) &lt; 'Evaluation Set-up'!$D$11, DATE($Y26, W$12, 1) &gt;= 'Evaluation Set-up'!$E$11), "", "After")</f>
        <v>After</v>
      </c>
    </row>
    <row r="27" spans="2:38">
      <c r="B27" s="77">
        <v>2024</v>
      </c>
      <c r="C27" s="81">
        <f>COUNTIF(Before!$Q:$Q,B27) + COUNTIF(After!$Q:$Q,B27)</f>
        <v>8</v>
      </c>
      <c r="D27" s="34">
        <f>COUNTIFS(Before!$C:$C,"&gt;=23",Before!$C:$C,"&lt;=27", Before!$Q:$Q,B27)+COUNTIFS(Before!$C:$C,"30", Before!$Q:$Q,B27) + COUNTIFS(After!$C:$C,"&gt;=23",After!$C:$C,"&lt;=27", After!$Q:$Q,B27)+COUNTIFS(After!$C:$C,"30", After!$Q:$Q,B27)</f>
        <v>4</v>
      </c>
      <c r="E27" s="34">
        <f>COUNTIFS(Before!$C:$C,"&gt;=21",Before!$C:$C,"&lt;=22", Before!$Q:$Q,B27) + COUNTIFS(After!$C:$C,"&gt;=21",After!$C:$C,"&lt;=22", After!$Q:$Q,B27)</f>
        <v>3</v>
      </c>
      <c r="F27" s="82">
        <f>COUNTIFS(Before!$Q:$Q,$B27, Before!$G:$G, "K") + COUNTIFS(Before!$Q:$Q,$B27, Before!$G:$G, "A") + COUNTIFS(Before!$Q:$Q,$B27, Before!$G:$G, "B") + COUNTIFS(Before!$Q:$Q,$B27, Before!$G:$G, "C")
+ COUNTIFS(After!$Q:$Q,$B27, After!$G:$G, "K") + COUNTIFS(After!$Q:$Q,$B27, After!$G:$G, "A") + COUNTIFS(After!$Q:$Q,$B27, After!$G:$G, "B") + COUNTIFS(After!$Q:$Q,$B27, After!$G:$G, "C")</f>
        <v>1</v>
      </c>
      <c r="G27" s="85">
        <f>VLOOKUP($B27, 'Evaluation Set-up'!$K$11:$R$35, 4, FALSE)</f>
        <v>7550</v>
      </c>
      <c r="H27" s="86">
        <f>VLOOKUP($B27, 'Evaluation Set-up'!$K$11:$R$35, 7, FALSE)</f>
        <v>3500</v>
      </c>
      <c r="J27" s="49">
        <v>2024</v>
      </c>
      <c r="K27" s="65">
        <f t="shared" si="0"/>
        <v>0</v>
      </c>
      <c r="L27" s="1" t="str">
        <f>IF(OR(DATE($J27, L$12, 1) &lt; 'Evaluation Set-up'!$D$9, DATE($J27, L$12, 1) &gt;= 'Evaluation Set-up'!$E$9), "", "Before")</f>
        <v/>
      </c>
      <c r="M27" s="1" t="str">
        <f>IF(OR(DATE($J27, M$12, 1) &lt; 'Evaluation Set-up'!$D$9, DATE($J27, M$12, 1) &gt;= 'Evaluation Set-up'!$E$9), "", "Before")</f>
        <v/>
      </c>
      <c r="N27" s="1" t="str">
        <f>IF(OR(DATE($J27, N$12, 1) &lt; 'Evaluation Set-up'!$D$9, DATE($J27, N$12, 1) &gt;= 'Evaluation Set-up'!$E$9), "", "Before")</f>
        <v/>
      </c>
      <c r="O27" s="1" t="str">
        <f>IF(OR(DATE($J27, O$12, 1) &lt; 'Evaluation Set-up'!$D$9, DATE($J27, O$12, 1) &gt;= 'Evaluation Set-up'!$E$9), "", "Before")</f>
        <v/>
      </c>
      <c r="P27" s="1" t="str">
        <f>IF(OR(DATE($J27, P$12, 1) &lt; 'Evaluation Set-up'!$D$9, DATE($J27, P$12, 1) &gt;= 'Evaluation Set-up'!$E$9), "", "Before")</f>
        <v/>
      </c>
      <c r="Q27" s="1" t="str">
        <f>IF(OR(DATE($J27, Q$12, 1) &lt; 'Evaluation Set-up'!$D$9, DATE($J27, Q$12, 1) &gt;= 'Evaluation Set-up'!$E$9), "", "Before")</f>
        <v/>
      </c>
      <c r="R27" s="1" t="str">
        <f>IF(OR(DATE($J27, R$12, 1) &lt; 'Evaluation Set-up'!$D$9, DATE($J27, R$12, 1) &gt;= 'Evaluation Set-up'!$E$9), "", "Before")</f>
        <v/>
      </c>
      <c r="S27" s="1" t="str">
        <f>IF(OR(DATE($J27, S$12, 1) &lt; 'Evaluation Set-up'!$D$9, DATE($J27, S$12, 1) &gt;= 'Evaluation Set-up'!$E$9), "", "Before")</f>
        <v/>
      </c>
      <c r="T27" s="1" t="str">
        <f>IF(OR(DATE($J27, T$12, 1) &lt; 'Evaluation Set-up'!$D$9, DATE($J27, T$12, 1) &gt;= 'Evaluation Set-up'!$E$9), "", "Before")</f>
        <v/>
      </c>
      <c r="U27" s="1" t="str">
        <f>IF(OR(DATE($J27, U$12, 1) &lt; 'Evaluation Set-up'!$D$9, DATE($J27, U$12, 1) &gt;= 'Evaluation Set-up'!$E$9), "", "Before")</f>
        <v/>
      </c>
      <c r="V27" s="1" t="str">
        <f>IF(OR(DATE($J27, V$12, 1) &lt; 'Evaluation Set-up'!$D$9, DATE($J27, V$12, 1) &gt;= 'Evaluation Set-up'!$E$9), "", "Before")</f>
        <v/>
      </c>
      <c r="W27" s="70" t="str">
        <f>IF(OR(DATE($J27, W$12, 1) &lt; 'Evaluation Set-up'!$D$9, DATE($J27, W$12, 1) &gt;= 'Evaluation Set-up'!$E$9), "", "Before")</f>
        <v/>
      </c>
      <c r="X27" s="1"/>
      <c r="Y27" s="49">
        <v>2024</v>
      </c>
      <c r="Z27" s="65">
        <f t="shared" si="1"/>
        <v>12</v>
      </c>
      <c r="AA27" s="1" t="str">
        <f>IF(OR(DATE($Y27, L$12, 1) &lt; 'Evaluation Set-up'!$D$11, DATE($Y27, L$12, 1) &gt;= 'Evaluation Set-up'!$E$11), "", "After")</f>
        <v>After</v>
      </c>
      <c r="AB27" s="1" t="str">
        <f>IF(OR(DATE($Y27, M$12, 1) &lt; 'Evaluation Set-up'!$D$11, DATE($Y27, M$12, 1) &gt;= 'Evaluation Set-up'!$E$11), "", "After")</f>
        <v>After</v>
      </c>
      <c r="AC27" s="1" t="str">
        <f>IF(OR(DATE($Y27, N$12, 1) &lt; 'Evaluation Set-up'!$D$11, DATE($Y27, N$12, 1) &gt;= 'Evaluation Set-up'!$E$11), "", "After")</f>
        <v>After</v>
      </c>
      <c r="AD27" s="1" t="str">
        <f>IF(OR(DATE($Y27, O$12, 1) &lt; 'Evaluation Set-up'!$D$11, DATE($Y27, O$12, 1) &gt;= 'Evaluation Set-up'!$E$11), "", "After")</f>
        <v>After</v>
      </c>
      <c r="AE27" s="1" t="str">
        <f>IF(OR(DATE($Y27, P$12, 1) &lt; 'Evaluation Set-up'!$D$11, DATE($Y27, P$12, 1) &gt;= 'Evaluation Set-up'!$E$11), "", "After")</f>
        <v>After</v>
      </c>
      <c r="AF27" s="1" t="str">
        <f>IF(OR(DATE($Y27, Q$12, 1) &lt; 'Evaluation Set-up'!$D$11, DATE($Y27, Q$12, 1) &gt;= 'Evaluation Set-up'!$E$11), "", "After")</f>
        <v>After</v>
      </c>
      <c r="AG27" s="1" t="str">
        <f>IF(OR(DATE($Y27, R$12, 1) &lt; 'Evaluation Set-up'!$D$11, DATE($Y27, R$12, 1) &gt;= 'Evaluation Set-up'!$E$11), "", "After")</f>
        <v>After</v>
      </c>
      <c r="AH27" s="1" t="str">
        <f>IF(OR(DATE($Y27, S$12, 1) &lt; 'Evaluation Set-up'!$D$11, DATE($Y27, S$12, 1) &gt;= 'Evaluation Set-up'!$E$11), "", "After")</f>
        <v>After</v>
      </c>
      <c r="AI27" s="1" t="str">
        <f>IF(OR(DATE($Y27, T$12, 1) &lt; 'Evaluation Set-up'!$D$11, DATE($Y27, T$12, 1) &gt;= 'Evaluation Set-up'!$E$11), "", "After")</f>
        <v>After</v>
      </c>
      <c r="AJ27" s="1" t="str">
        <f>IF(OR(DATE($Y27, U$12, 1) &lt; 'Evaluation Set-up'!$D$11, DATE($Y27, U$12, 1) &gt;= 'Evaluation Set-up'!$E$11), "", "After")</f>
        <v>After</v>
      </c>
      <c r="AK27" s="1" t="str">
        <f>IF(OR(DATE($Y27, V$12, 1) &lt; 'Evaluation Set-up'!$D$11, DATE($Y27, V$12, 1) &gt;= 'Evaluation Set-up'!$E$11), "", "After")</f>
        <v>After</v>
      </c>
      <c r="AL27" s="70" t="str">
        <f>IF(OR(DATE($Y27, W$12, 1) &lt; 'Evaluation Set-up'!$D$11, DATE($Y27, W$12, 1) &gt;= 'Evaluation Set-up'!$E$11), "", "After")</f>
        <v>After</v>
      </c>
    </row>
    <row r="28" spans="2:38" s="47" customFormat="1">
      <c r="B28" s="77">
        <v>2025</v>
      </c>
      <c r="C28" s="81">
        <f>COUNTIF(Before!$Q:$Q,B28) + COUNTIF(After!$Q:$Q,B28)</f>
        <v>5</v>
      </c>
      <c r="D28" s="34">
        <f>COUNTIFS(Before!$C:$C,"&gt;=23",Before!$C:$C,"&lt;=27", Before!$Q:$Q,B28)+COUNTIFS(Before!$C:$C,"30", Before!$Q:$Q,B28) + COUNTIFS(After!$C:$C,"&gt;=23",After!$C:$C,"&lt;=27", After!$Q:$Q,B28)+COUNTIFS(After!$C:$C,"30", After!$Q:$Q,B28)</f>
        <v>3</v>
      </c>
      <c r="E28" s="34">
        <f>COUNTIFS(Before!$C:$C,"&gt;=21",Before!$C:$C,"&lt;=22", Before!$Q:$Q,B28) + COUNTIFS(After!$C:$C,"&gt;=21",After!$C:$C,"&lt;=22", After!$Q:$Q,B28)</f>
        <v>2</v>
      </c>
      <c r="F28" s="82">
        <f>COUNTIFS(Before!$Q:$Q,$B28, Before!$G:$G, "K") + COUNTIFS(Before!$Q:$Q,$B28, Before!$G:$G, "A") + COUNTIFS(Before!$Q:$Q,$B28, Before!$G:$G, "B") + COUNTIFS(Before!$Q:$Q,$B28, Before!$G:$G, "C")
+ COUNTIFS(After!$Q:$Q,$B28, After!$G:$G, "K") + COUNTIFS(After!$Q:$Q,$B28, After!$G:$G, "A") + COUNTIFS(After!$Q:$Q,$B28, After!$G:$G, "B") + COUNTIFS(After!$Q:$Q,$B28, After!$G:$G, "C")</f>
        <v>1</v>
      </c>
      <c r="G28" s="85">
        <f>VLOOKUP($B28, 'Evaluation Set-up'!$K$11:$R$35, 4, FALSE)</f>
        <v>8150</v>
      </c>
      <c r="H28" s="86">
        <f>VLOOKUP($B28, 'Evaluation Set-up'!$K$11:$R$35, 7, FALSE)</f>
        <v>3600</v>
      </c>
      <c r="J28" s="49">
        <v>2025</v>
      </c>
      <c r="K28" s="65">
        <f t="shared" si="0"/>
        <v>0</v>
      </c>
      <c r="L28" s="1" t="str">
        <f>IF(OR(DATE($J28, L$12, 1) &lt; 'Evaluation Set-up'!$D$9, DATE($J28, L$12, 1) &gt;= 'Evaluation Set-up'!$E$9), "", "Before")</f>
        <v/>
      </c>
      <c r="M28" s="1" t="str">
        <f>IF(OR(DATE($J28, M$12, 1) &lt; 'Evaluation Set-up'!$D$9, DATE($J28, M$12, 1) &gt;= 'Evaluation Set-up'!$E$9), "", "Before")</f>
        <v/>
      </c>
      <c r="N28" s="1" t="str">
        <f>IF(OR(DATE($J28, N$12, 1) &lt; 'Evaluation Set-up'!$D$9, DATE($J28, N$12, 1) &gt;= 'Evaluation Set-up'!$E$9), "", "Before")</f>
        <v/>
      </c>
      <c r="O28" s="1" t="str">
        <f>IF(OR(DATE($J28, O$12, 1) &lt; 'Evaluation Set-up'!$D$9, DATE($J28, O$12, 1) &gt;= 'Evaluation Set-up'!$E$9), "", "Before")</f>
        <v/>
      </c>
      <c r="P28" s="1" t="str">
        <f>IF(OR(DATE($J28, P$12, 1) &lt; 'Evaluation Set-up'!$D$9, DATE($J28, P$12, 1) &gt;= 'Evaluation Set-up'!$E$9), "", "Before")</f>
        <v/>
      </c>
      <c r="Q28" s="1" t="str">
        <f>IF(OR(DATE($J28, Q$12, 1) &lt; 'Evaluation Set-up'!$D$9, DATE($J28, Q$12, 1) &gt;= 'Evaluation Set-up'!$E$9), "", "Before")</f>
        <v/>
      </c>
      <c r="R28" s="1" t="str">
        <f>IF(OR(DATE($J28, R$12, 1) &lt; 'Evaluation Set-up'!$D$9, DATE($J28, R$12, 1) &gt;= 'Evaluation Set-up'!$E$9), "", "Before")</f>
        <v/>
      </c>
      <c r="S28" s="1" t="str">
        <f>IF(OR(DATE($J28, S$12, 1) &lt; 'Evaluation Set-up'!$D$9, DATE($J28, S$12, 1) &gt;= 'Evaluation Set-up'!$E$9), "", "Before")</f>
        <v/>
      </c>
      <c r="T28" s="1" t="str">
        <f>IF(OR(DATE($J28, T$12, 1) &lt; 'Evaluation Set-up'!$D$9, DATE($J28, T$12, 1) &gt;= 'Evaluation Set-up'!$E$9), "", "Before")</f>
        <v/>
      </c>
      <c r="U28" s="1" t="str">
        <f>IF(OR(DATE($J28, U$12, 1) &lt; 'Evaluation Set-up'!$D$9, DATE($J28, U$12, 1) &gt;= 'Evaluation Set-up'!$E$9), "", "Before")</f>
        <v/>
      </c>
      <c r="V28" s="1" t="str">
        <f>IF(OR(DATE($J28, V$12, 1) &lt; 'Evaluation Set-up'!$D$9, DATE($J28, V$12, 1) &gt;= 'Evaluation Set-up'!$E$9), "", "Before")</f>
        <v/>
      </c>
      <c r="W28" s="70" t="str">
        <f>IF(OR(DATE($J28, W$12, 1) &lt; 'Evaluation Set-up'!$D$9, DATE($J28, W$12, 1) &gt;= 'Evaluation Set-up'!$E$9), "", "Before")</f>
        <v/>
      </c>
      <c r="X28" s="1"/>
      <c r="Y28" s="49">
        <v>2025</v>
      </c>
      <c r="Z28" s="65">
        <f t="shared" si="1"/>
        <v>12</v>
      </c>
      <c r="AA28" s="1" t="str">
        <f>IF(OR(DATE($Y28, L$12, 1) &lt; 'Evaluation Set-up'!$D$11, DATE($Y28, L$12, 1) &gt;= 'Evaluation Set-up'!$E$11), "", "After")</f>
        <v>After</v>
      </c>
      <c r="AB28" s="1" t="str">
        <f>IF(OR(DATE($Y28, M$12, 1) &lt; 'Evaluation Set-up'!$D$11, DATE($Y28, M$12, 1) &gt;= 'Evaluation Set-up'!$E$11), "", "After")</f>
        <v>After</v>
      </c>
      <c r="AC28" s="1" t="str">
        <f>IF(OR(DATE($Y28, N$12, 1) &lt; 'Evaluation Set-up'!$D$11, DATE($Y28, N$12, 1) &gt;= 'Evaluation Set-up'!$E$11), "", "After")</f>
        <v>After</v>
      </c>
      <c r="AD28" s="1" t="str">
        <f>IF(OR(DATE($Y28, O$12, 1) &lt; 'Evaluation Set-up'!$D$11, DATE($Y28, O$12, 1) &gt;= 'Evaluation Set-up'!$E$11), "", "After")</f>
        <v>After</v>
      </c>
      <c r="AE28" s="1" t="str">
        <f>IF(OR(DATE($Y28, P$12, 1) &lt; 'Evaluation Set-up'!$D$11, DATE($Y28, P$12, 1) &gt;= 'Evaluation Set-up'!$E$11), "", "After")</f>
        <v>After</v>
      </c>
      <c r="AF28" s="1" t="str">
        <f>IF(OR(DATE($Y28, Q$12, 1) &lt; 'Evaluation Set-up'!$D$11, DATE($Y28, Q$12, 1) &gt;= 'Evaluation Set-up'!$E$11), "", "After")</f>
        <v>After</v>
      </c>
      <c r="AG28" s="1" t="str">
        <f>IF(OR(DATE($Y28, R$12, 1) &lt; 'Evaluation Set-up'!$D$11, DATE($Y28, R$12, 1) &gt;= 'Evaluation Set-up'!$E$11), "", "After")</f>
        <v>After</v>
      </c>
      <c r="AH28" s="1" t="str">
        <f>IF(OR(DATE($Y28, S$12, 1) &lt; 'Evaluation Set-up'!$D$11, DATE($Y28, S$12, 1) &gt;= 'Evaluation Set-up'!$E$11), "", "After")</f>
        <v>After</v>
      </c>
      <c r="AI28" s="1" t="str">
        <f>IF(OR(DATE($Y28, T$12, 1) &lt; 'Evaluation Set-up'!$D$11, DATE($Y28, T$12, 1) &gt;= 'Evaluation Set-up'!$E$11), "", "After")</f>
        <v>After</v>
      </c>
      <c r="AJ28" s="1" t="str">
        <f>IF(OR(DATE($Y28, U$12, 1) &lt; 'Evaluation Set-up'!$D$11, DATE($Y28, U$12, 1) &gt;= 'Evaluation Set-up'!$E$11), "", "After")</f>
        <v>After</v>
      </c>
      <c r="AK28" s="1" t="str">
        <f>IF(OR(DATE($Y28, V$12, 1) &lt; 'Evaluation Set-up'!$D$11, DATE($Y28, V$12, 1) &gt;= 'Evaluation Set-up'!$E$11), "", "After")</f>
        <v>After</v>
      </c>
      <c r="AL28" s="70" t="str">
        <f>IF(OR(DATE($Y28, W$12, 1) &lt; 'Evaluation Set-up'!$D$11, DATE($Y28, W$12, 1) &gt;= 'Evaluation Set-up'!$E$11), "", "After")</f>
        <v>After</v>
      </c>
    </row>
    <row r="29" spans="2:38">
      <c r="B29" s="77">
        <v>2026</v>
      </c>
      <c r="C29" s="81">
        <f>COUNTIF(Before!$Q:$Q,B29) + COUNTIF(After!$Q:$Q,B29)</f>
        <v>2</v>
      </c>
      <c r="D29" s="34">
        <f>COUNTIFS(Before!$C:$C,"&gt;=23",Before!$C:$C,"&lt;=27", Before!$Q:$Q,B29)+COUNTIFS(Before!$C:$C,"30", Before!$Q:$Q,B29) + COUNTIFS(After!$C:$C,"&gt;=23",After!$C:$C,"&lt;=27", After!$Q:$Q,B29)+COUNTIFS(After!$C:$C,"30", After!$Q:$Q,B29)</f>
        <v>1</v>
      </c>
      <c r="E29" s="34">
        <f>COUNTIFS(Before!$C:$C,"&gt;=21",Before!$C:$C,"&lt;=22", Before!$Q:$Q,B29) + COUNTIFS(After!$C:$C,"&gt;=21",After!$C:$C,"&lt;=22", After!$Q:$Q,B29)</f>
        <v>0</v>
      </c>
      <c r="F29" s="82">
        <f>COUNTIFS(Before!$Q:$Q,$B29, Before!$G:$G, "K") + COUNTIFS(Before!$Q:$Q,$B29, Before!$G:$G, "A") + COUNTIFS(Before!$Q:$Q,$B29, Before!$G:$G, "B") + COUNTIFS(Before!$Q:$Q,$B29, Before!$G:$G, "C")
+ COUNTIFS(After!$Q:$Q,$B29, After!$G:$G, "K") + COUNTIFS(After!$Q:$Q,$B29, After!$G:$G, "A") + COUNTIFS(After!$Q:$Q,$B29, After!$G:$G, "B") + COUNTIFS(After!$Q:$Q,$B29, After!$G:$G, "C")</f>
        <v>1</v>
      </c>
      <c r="G29" s="85">
        <f>VLOOKUP($B29, 'Evaluation Set-up'!$K$11:$R$35, 4, FALSE)</f>
        <v>8150</v>
      </c>
      <c r="H29" s="86">
        <f>VLOOKUP($B29, 'Evaluation Set-up'!$K$11:$R$35, 7, FALSE)</f>
        <v>3600</v>
      </c>
      <c r="J29" s="49">
        <v>2026</v>
      </c>
      <c r="K29" s="65">
        <f t="shared" si="0"/>
        <v>0</v>
      </c>
      <c r="L29" s="1" t="str">
        <f>IF(OR(DATE($J29, L$12, 1) &lt; 'Evaluation Set-up'!$D$9, DATE($J29, L$12, 1) &gt;= 'Evaluation Set-up'!$E$9), "", "Before")</f>
        <v/>
      </c>
      <c r="M29" s="1" t="str">
        <f>IF(OR(DATE($J29, M$12, 1) &lt; 'Evaluation Set-up'!$D$9, DATE($J29, M$12, 1) &gt;= 'Evaluation Set-up'!$E$9), "", "Before")</f>
        <v/>
      </c>
      <c r="N29" s="1" t="str">
        <f>IF(OR(DATE($J29, N$12, 1) &lt; 'Evaluation Set-up'!$D$9, DATE($J29, N$12, 1) &gt;= 'Evaluation Set-up'!$E$9), "", "Before")</f>
        <v/>
      </c>
      <c r="O29" s="1" t="str">
        <f>IF(OR(DATE($J29, O$12, 1) &lt; 'Evaluation Set-up'!$D$9, DATE($J29, O$12, 1) &gt;= 'Evaluation Set-up'!$E$9), "", "Before")</f>
        <v/>
      </c>
      <c r="P29" s="1" t="str">
        <f>IF(OR(DATE($J29, P$12, 1) &lt; 'Evaluation Set-up'!$D$9, DATE($J29, P$12, 1) &gt;= 'Evaluation Set-up'!$E$9), "", "Before")</f>
        <v/>
      </c>
      <c r="Q29" s="1" t="str">
        <f>IF(OR(DATE($J29, Q$12, 1) &lt; 'Evaluation Set-up'!$D$9, DATE($J29, Q$12, 1) &gt;= 'Evaluation Set-up'!$E$9), "", "Before")</f>
        <v/>
      </c>
      <c r="R29" s="1" t="str">
        <f>IF(OR(DATE($J29, R$12, 1) &lt; 'Evaluation Set-up'!$D$9, DATE($J29, R$12, 1) &gt;= 'Evaluation Set-up'!$E$9), "", "Before")</f>
        <v/>
      </c>
      <c r="S29" s="1" t="str">
        <f>IF(OR(DATE($J29, S$12, 1) &lt; 'Evaluation Set-up'!$D$9, DATE($J29, S$12, 1) &gt;= 'Evaluation Set-up'!$E$9), "", "Before")</f>
        <v/>
      </c>
      <c r="T29" s="1" t="str">
        <f>IF(OR(DATE($J29, T$12, 1) &lt; 'Evaluation Set-up'!$D$9, DATE($J29, T$12, 1) &gt;= 'Evaluation Set-up'!$E$9), "", "Before")</f>
        <v/>
      </c>
      <c r="U29" s="1" t="str">
        <f>IF(OR(DATE($J29, U$12, 1) &lt; 'Evaluation Set-up'!$D$9, DATE($J29, U$12, 1) &gt;= 'Evaluation Set-up'!$E$9), "", "Before")</f>
        <v/>
      </c>
      <c r="V29" s="1" t="str">
        <f>IF(OR(DATE($J29, V$12, 1) &lt; 'Evaluation Set-up'!$D$9, DATE($J29, V$12, 1) &gt;= 'Evaluation Set-up'!$E$9), "", "Before")</f>
        <v/>
      </c>
      <c r="W29" s="70" t="str">
        <f>IF(OR(DATE($J29, W$12, 1) &lt; 'Evaluation Set-up'!$D$9, DATE($J29, W$12, 1) &gt;= 'Evaluation Set-up'!$E$9), "", "Before")</f>
        <v/>
      </c>
      <c r="X29" s="1"/>
      <c r="Y29" s="49">
        <v>2026</v>
      </c>
      <c r="Z29" s="65">
        <f t="shared" si="1"/>
        <v>8</v>
      </c>
      <c r="AA29" s="1" t="str">
        <f>IF(OR(DATE($Y29, L$12, 1) &lt; 'Evaluation Set-up'!$D$11, DATE($Y29, L$12, 1) &gt;= 'Evaluation Set-up'!$E$11), "", "After")</f>
        <v>After</v>
      </c>
      <c r="AB29" s="1" t="str">
        <f>IF(OR(DATE($Y29, M$12, 1) &lt; 'Evaluation Set-up'!$D$11, DATE($Y29, M$12, 1) &gt;= 'Evaluation Set-up'!$E$11), "", "After")</f>
        <v>After</v>
      </c>
      <c r="AC29" s="1" t="str">
        <f>IF(OR(DATE($Y29, N$12, 1) &lt; 'Evaluation Set-up'!$D$11, DATE($Y29, N$12, 1) &gt;= 'Evaluation Set-up'!$E$11), "", "After")</f>
        <v>After</v>
      </c>
      <c r="AD29" s="1" t="str">
        <f>IF(OR(DATE($Y29, O$12, 1) &lt; 'Evaluation Set-up'!$D$11, DATE($Y29, O$12, 1) &gt;= 'Evaluation Set-up'!$E$11), "", "After")</f>
        <v>After</v>
      </c>
      <c r="AE29" s="1" t="str">
        <f>IF(OR(DATE($Y29, P$12, 1) &lt; 'Evaluation Set-up'!$D$11, DATE($Y29, P$12, 1) &gt;= 'Evaluation Set-up'!$E$11), "", "After")</f>
        <v>After</v>
      </c>
      <c r="AF29" s="1" t="str">
        <f>IF(OR(DATE($Y29, Q$12, 1) &lt; 'Evaluation Set-up'!$D$11, DATE($Y29, Q$12, 1) &gt;= 'Evaluation Set-up'!$E$11), "", "After")</f>
        <v>After</v>
      </c>
      <c r="AG29" s="1" t="str">
        <f>IF(OR(DATE($Y29, R$12, 1) &lt; 'Evaluation Set-up'!$D$11, DATE($Y29, R$12, 1) &gt;= 'Evaluation Set-up'!$E$11), "", "After")</f>
        <v>After</v>
      </c>
      <c r="AH29" s="1" t="str">
        <f>IF(OR(DATE($Y29, S$12, 1) &lt; 'Evaluation Set-up'!$D$11, DATE($Y29, S$12, 1) &gt;= 'Evaluation Set-up'!$E$11), "", "After")</f>
        <v>After</v>
      </c>
      <c r="AI29" s="1" t="str">
        <f>IF(OR(DATE($Y29, T$12, 1) &lt; 'Evaluation Set-up'!$D$11, DATE($Y29, T$12, 1) &gt;= 'Evaluation Set-up'!$E$11), "", "After")</f>
        <v/>
      </c>
      <c r="AJ29" s="1" t="str">
        <f>IF(OR(DATE($Y29, U$12, 1) &lt; 'Evaluation Set-up'!$D$11, DATE($Y29, U$12, 1) &gt;= 'Evaluation Set-up'!$E$11), "", "After")</f>
        <v/>
      </c>
      <c r="AK29" s="1" t="str">
        <f>IF(OR(DATE($Y29, V$12, 1) &lt; 'Evaluation Set-up'!$D$11, DATE($Y29, V$12, 1) &gt;= 'Evaluation Set-up'!$E$11), "", "After")</f>
        <v/>
      </c>
      <c r="AL29" s="70" t="str">
        <f>IF(OR(DATE($Y29, W$12, 1) &lt; 'Evaluation Set-up'!$D$11, DATE($Y29, W$12, 1) &gt;= 'Evaluation Set-up'!$E$11), "", "After")</f>
        <v/>
      </c>
    </row>
    <row r="30" spans="2:38">
      <c r="B30" s="77">
        <v>2027</v>
      </c>
      <c r="C30" s="81">
        <f>COUNTIF(Before!$Q:$Q,B30) + COUNTIF(After!$Q:$Q,B30)</f>
        <v>0</v>
      </c>
      <c r="D30" s="34">
        <f>COUNTIFS(Before!$C:$C,"&gt;=23",Before!$C:$C,"&lt;=27", Before!$Q:$Q,B30)+COUNTIFS(Before!$C:$C,"30", Before!$Q:$Q,B30) + COUNTIFS(After!$C:$C,"&gt;=23",After!$C:$C,"&lt;=27", After!$Q:$Q,B30)+COUNTIFS(After!$C:$C,"30", After!$Q:$Q,B30)</f>
        <v>0</v>
      </c>
      <c r="E30" s="34">
        <f>COUNTIFS(Before!$C:$C,"&gt;=21",Before!$C:$C,"&lt;=22", Before!$Q:$Q,B30) + COUNTIFS(After!$C:$C,"&gt;=21",After!$C:$C,"&lt;=22", After!$Q:$Q,B30)</f>
        <v>0</v>
      </c>
      <c r="F30" s="82">
        <f>COUNTIFS(Before!$Q:$Q,$B30, Before!$G:$G, "K") + COUNTIFS(Before!$Q:$Q,$B30, Before!$G:$G, "A") + COUNTIFS(Before!$Q:$Q,$B30, Before!$G:$G, "B") + COUNTIFS(Before!$Q:$Q,$B30, Before!$G:$G, "C")
+ COUNTIFS(After!$Q:$Q,$B30, After!$G:$G, "K") + COUNTIFS(After!$Q:$Q,$B30, After!$G:$G, "A") + COUNTIFS(After!$Q:$Q,$B30, After!$G:$G, "B") + COUNTIFS(After!$Q:$Q,$B30, After!$G:$G, "C")</f>
        <v>0</v>
      </c>
      <c r="G30" s="85" t="str">
        <f>VLOOKUP($B30, 'Evaluation Set-up'!$K$11:$R$35, 4, FALSE)</f>
        <v/>
      </c>
      <c r="H30" s="86" t="str">
        <f>VLOOKUP($B30, 'Evaluation Set-up'!$K$11:$R$35, 7, FALSE)</f>
        <v/>
      </c>
      <c r="J30" s="49">
        <v>2027</v>
      </c>
      <c r="K30" s="65">
        <f t="shared" si="0"/>
        <v>0</v>
      </c>
      <c r="L30" s="1" t="str">
        <f>IF(OR(DATE($J30, L$12, 1) &lt; 'Evaluation Set-up'!$D$9, DATE($J30, L$12, 1) &gt;= 'Evaluation Set-up'!$E$9), "", "Before")</f>
        <v/>
      </c>
      <c r="M30" s="1" t="str">
        <f>IF(OR(DATE($J30, M$12, 1) &lt; 'Evaluation Set-up'!$D$9, DATE($J30, M$12, 1) &gt;= 'Evaluation Set-up'!$E$9), "", "Before")</f>
        <v/>
      </c>
      <c r="N30" s="1" t="str">
        <f>IF(OR(DATE($J30, N$12, 1) &lt; 'Evaluation Set-up'!$D$9, DATE($J30, N$12, 1) &gt;= 'Evaluation Set-up'!$E$9), "", "Before")</f>
        <v/>
      </c>
      <c r="O30" s="1" t="str">
        <f>IF(OR(DATE($J30, O$12, 1) &lt; 'Evaluation Set-up'!$D$9, DATE($J30, O$12, 1) &gt;= 'Evaluation Set-up'!$E$9), "", "Before")</f>
        <v/>
      </c>
      <c r="P30" s="1" t="str">
        <f>IF(OR(DATE($J30, P$12, 1) &lt; 'Evaluation Set-up'!$D$9, DATE($J30, P$12, 1) &gt;= 'Evaluation Set-up'!$E$9), "", "Before")</f>
        <v/>
      </c>
      <c r="Q30" s="1" t="str">
        <f>IF(OR(DATE($J30, Q$12, 1) &lt; 'Evaluation Set-up'!$D$9, DATE($J30, Q$12, 1) &gt;= 'Evaluation Set-up'!$E$9), "", "Before")</f>
        <v/>
      </c>
      <c r="R30" s="1" t="str">
        <f>IF(OR(DATE($J30, R$12, 1) &lt; 'Evaluation Set-up'!$D$9, DATE($J30, R$12, 1) &gt;= 'Evaluation Set-up'!$E$9), "", "Before")</f>
        <v/>
      </c>
      <c r="S30" s="1" t="str">
        <f>IF(OR(DATE($J30, S$12, 1) &lt; 'Evaluation Set-up'!$D$9, DATE($J30, S$12, 1) &gt;= 'Evaluation Set-up'!$E$9), "", "Before")</f>
        <v/>
      </c>
      <c r="T30" s="1" t="str">
        <f>IF(OR(DATE($J30, T$12, 1) &lt; 'Evaluation Set-up'!$D$9, DATE($J30, T$12, 1) &gt;= 'Evaluation Set-up'!$E$9), "", "Before")</f>
        <v/>
      </c>
      <c r="U30" s="1" t="str">
        <f>IF(OR(DATE($J30, U$12, 1) &lt; 'Evaluation Set-up'!$D$9, DATE($J30, U$12, 1) &gt;= 'Evaluation Set-up'!$E$9), "", "Before")</f>
        <v/>
      </c>
      <c r="V30" s="1" t="str">
        <f>IF(OR(DATE($J30, V$12, 1) &lt; 'Evaluation Set-up'!$D$9, DATE($J30, V$12, 1) &gt;= 'Evaluation Set-up'!$E$9), "", "Before")</f>
        <v/>
      </c>
      <c r="W30" s="70" t="str">
        <f>IF(OR(DATE($J30, W$12, 1) &lt; 'Evaluation Set-up'!$D$9, DATE($J30, W$12, 1) &gt;= 'Evaluation Set-up'!$E$9), "", "Before")</f>
        <v/>
      </c>
      <c r="X30" s="1"/>
      <c r="Y30" s="49">
        <v>2027</v>
      </c>
      <c r="Z30" s="65">
        <f t="shared" si="1"/>
        <v>0</v>
      </c>
      <c r="AA30" s="1" t="str">
        <f>IF(OR(DATE($Y30, L$12, 1) &lt; 'Evaluation Set-up'!$D$11, DATE($Y30, L$12, 1) &gt;= 'Evaluation Set-up'!$E$11), "", "After")</f>
        <v/>
      </c>
      <c r="AB30" s="1" t="str">
        <f>IF(OR(DATE($Y30, M$12, 1) &lt; 'Evaluation Set-up'!$D$11, DATE($Y30, M$12, 1) &gt;= 'Evaluation Set-up'!$E$11), "", "After")</f>
        <v/>
      </c>
      <c r="AC30" s="1" t="str">
        <f>IF(OR(DATE($Y30, N$12, 1) &lt; 'Evaluation Set-up'!$D$11, DATE($Y30, N$12, 1) &gt;= 'Evaluation Set-up'!$E$11), "", "After")</f>
        <v/>
      </c>
      <c r="AD30" s="1" t="str">
        <f>IF(OR(DATE($Y30, O$12, 1) &lt; 'Evaluation Set-up'!$D$11, DATE($Y30, O$12, 1) &gt;= 'Evaluation Set-up'!$E$11), "", "After")</f>
        <v/>
      </c>
      <c r="AE30" s="1" t="str">
        <f>IF(OR(DATE($Y30, P$12, 1) &lt; 'Evaluation Set-up'!$D$11, DATE($Y30, P$12, 1) &gt;= 'Evaluation Set-up'!$E$11), "", "After")</f>
        <v/>
      </c>
      <c r="AF30" s="1" t="str">
        <f>IF(OR(DATE($Y30, Q$12, 1) &lt; 'Evaluation Set-up'!$D$11, DATE($Y30, Q$12, 1) &gt;= 'Evaluation Set-up'!$E$11), "", "After")</f>
        <v/>
      </c>
      <c r="AG30" s="1" t="str">
        <f>IF(OR(DATE($Y30, R$12, 1) &lt; 'Evaluation Set-up'!$D$11, DATE($Y30, R$12, 1) &gt;= 'Evaluation Set-up'!$E$11), "", "After")</f>
        <v/>
      </c>
      <c r="AH30" s="1" t="str">
        <f>IF(OR(DATE($Y30, S$12, 1) &lt; 'Evaluation Set-up'!$D$11, DATE($Y30, S$12, 1) &gt;= 'Evaluation Set-up'!$E$11), "", "After")</f>
        <v/>
      </c>
      <c r="AI30" s="1" t="str">
        <f>IF(OR(DATE($Y30, T$12, 1) &lt; 'Evaluation Set-up'!$D$11, DATE($Y30, T$12, 1) &gt;= 'Evaluation Set-up'!$E$11), "", "After")</f>
        <v/>
      </c>
      <c r="AJ30" s="1" t="str">
        <f>IF(OR(DATE($Y30, U$12, 1) &lt; 'Evaluation Set-up'!$D$11, DATE($Y30, U$12, 1) &gt;= 'Evaluation Set-up'!$E$11), "", "After")</f>
        <v/>
      </c>
      <c r="AK30" s="1" t="str">
        <f>IF(OR(DATE($Y30, V$12, 1) &lt; 'Evaluation Set-up'!$D$11, DATE($Y30, V$12, 1) &gt;= 'Evaluation Set-up'!$E$11), "", "After")</f>
        <v/>
      </c>
      <c r="AL30" s="70" t="str">
        <f>IF(OR(DATE($Y30, W$12, 1) &lt; 'Evaluation Set-up'!$D$11, DATE($Y30, W$12, 1) &gt;= 'Evaluation Set-up'!$E$11), "", "After")</f>
        <v/>
      </c>
    </row>
    <row r="31" spans="2:38">
      <c r="B31" s="77">
        <v>2028</v>
      </c>
      <c r="C31" s="81">
        <f>COUNTIF(Before!$Q:$Q,B31) + COUNTIF(After!$Q:$Q,B31)</f>
        <v>0</v>
      </c>
      <c r="D31" s="34">
        <f>COUNTIFS(Before!$C:$C,"&gt;=23",Before!$C:$C,"&lt;=27", Before!$Q:$Q,B31)+COUNTIFS(Before!$C:$C,"30", Before!$Q:$Q,B31) + COUNTIFS(After!$C:$C,"&gt;=23",After!$C:$C,"&lt;=27", After!$Q:$Q,B31)+COUNTIFS(After!$C:$C,"30", After!$Q:$Q,B31)</f>
        <v>0</v>
      </c>
      <c r="E31" s="34">
        <f>COUNTIFS(Before!$C:$C,"&gt;=21",Before!$C:$C,"&lt;=22", Before!$Q:$Q,B31) + COUNTIFS(After!$C:$C,"&gt;=21",After!$C:$C,"&lt;=22", After!$Q:$Q,B31)</f>
        <v>0</v>
      </c>
      <c r="F31" s="82">
        <f>COUNTIFS(Before!$Q:$Q,$B31, Before!$G:$G, "K") + COUNTIFS(Before!$Q:$Q,$B31, Before!$G:$G, "A") + COUNTIFS(Before!$Q:$Q,$B31, Before!$G:$G, "B") + COUNTIFS(Before!$Q:$Q,$B31, Before!$G:$G, "C")
+ COUNTIFS(After!$Q:$Q,$B31, After!$G:$G, "K") + COUNTIFS(After!$Q:$Q,$B31, After!$G:$G, "A") + COUNTIFS(After!$Q:$Q,$B31, After!$G:$G, "B") + COUNTIFS(After!$Q:$Q,$B31, After!$G:$G, "C")</f>
        <v>0</v>
      </c>
      <c r="G31" s="85" t="str">
        <f>VLOOKUP($B31, 'Evaluation Set-up'!$K$11:$R$35, 4, FALSE)</f>
        <v/>
      </c>
      <c r="H31" s="86" t="str">
        <f>VLOOKUP($B31, 'Evaluation Set-up'!$K$11:$R$35, 7, FALSE)</f>
        <v/>
      </c>
      <c r="J31" s="49">
        <v>2028</v>
      </c>
      <c r="K31" s="65">
        <f t="shared" si="0"/>
        <v>0</v>
      </c>
      <c r="L31" s="1" t="str">
        <f>IF(OR(DATE($J31, L$12, 1) &lt; 'Evaluation Set-up'!$D$9, DATE($J31, L$12, 1) &gt;= 'Evaluation Set-up'!$E$9), "", "Before")</f>
        <v/>
      </c>
      <c r="M31" s="1" t="str">
        <f>IF(OR(DATE($J31, M$12, 1) &lt; 'Evaluation Set-up'!$D$9, DATE($J31, M$12, 1) &gt;= 'Evaluation Set-up'!$E$9), "", "Before")</f>
        <v/>
      </c>
      <c r="N31" s="1" t="str">
        <f>IF(OR(DATE($J31, N$12, 1) &lt; 'Evaluation Set-up'!$D$9, DATE($J31, N$12, 1) &gt;= 'Evaluation Set-up'!$E$9), "", "Before")</f>
        <v/>
      </c>
      <c r="O31" s="1" t="str">
        <f>IF(OR(DATE($J31, O$12, 1) &lt; 'Evaluation Set-up'!$D$9, DATE($J31, O$12, 1) &gt;= 'Evaluation Set-up'!$E$9), "", "Before")</f>
        <v/>
      </c>
      <c r="P31" s="1" t="str">
        <f>IF(OR(DATE($J31, P$12, 1) &lt; 'Evaluation Set-up'!$D$9, DATE($J31, P$12, 1) &gt;= 'Evaluation Set-up'!$E$9), "", "Before")</f>
        <v/>
      </c>
      <c r="Q31" s="1" t="str">
        <f>IF(OR(DATE($J31, Q$12, 1) &lt; 'Evaluation Set-up'!$D$9, DATE($J31, Q$12, 1) &gt;= 'Evaluation Set-up'!$E$9), "", "Before")</f>
        <v/>
      </c>
      <c r="R31" s="1" t="str">
        <f>IF(OR(DATE($J31, R$12, 1) &lt; 'Evaluation Set-up'!$D$9, DATE($J31, R$12, 1) &gt;= 'Evaluation Set-up'!$E$9), "", "Before")</f>
        <v/>
      </c>
      <c r="S31" s="1" t="str">
        <f>IF(OR(DATE($J31, S$12, 1) &lt; 'Evaluation Set-up'!$D$9, DATE($J31, S$12, 1) &gt;= 'Evaluation Set-up'!$E$9), "", "Before")</f>
        <v/>
      </c>
      <c r="T31" s="1" t="str">
        <f>IF(OR(DATE($J31, T$12, 1) &lt; 'Evaluation Set-up'!$D$9, DATE($J31, T$12, 1) &gt;= 'Evaluation Set-up'!$E$9), "", "Before")</f>
        <v/>
      </c>
      <c r="U31" s="1" t="str">
        <f>IF(OR(DATE($J31, U$12, 1) &lt; 'Evaluation Set-up'!$D$9, DATE($J31, U$12, 1) &gt;= 'Evaluation Set-up'!$E$9), "", "Before")</f>
        <v/>
      </c>
      <c r="V31" s="1" t="str">
        <f>IF(OR(DATE($J31, V$12, 1) &lt; 'Evaluation Set-up'!$D$9, DATE($J31, V$12, 1) &gt;= 'Evaluation Set-up'!$E$9), "", "Before")</f>
        <v/>
      </c>
      <c r="W31" s="70" t="str">
        <f>IF(OR(DATE($J31, W$12, 1) &lt; 'Evaluation Set-up'!$D$9, DATE($J31, W$12, 1) &gt;= 'Evaluation Set-up'!$E$9), "", "Before")</f>
        <v/>
      </c>
      <c r="X31" s="1"/>
      <c r="Y31" s="49">
        <v>2028</v>
      </c>
      <c r="Z31" s="65">
        <f t="shared" si="1"/>
        <v>0</v>
      </c>
      <c r="AA31" s="1" t="str">
        <f>IF(OR(DATE($Y31, L$12, 1) &lt; 'Evaluation Set-up'!$D$11, DATE($Y31, L$12, 1) &gt;= 'Evaluation Set-up'!$E$11), "", "After")</f>
        <v/>
      </c>
      <c r="AB31" s="1" t="str">
        <f>IF(OR(DATE($Y31, M$12, 1) &lt; 'Evaluation Set-up'!$D$11, DATE($Y31, M$12, 1) &gt;= 'Evaluation Set-up'!$E$11), "", "After")</f>
        <v/>
      </c>
      <c r="AC31" s="1" t="str">
        <f>IF(OR(DATE($Y31, N$12, 1) &lt; 'Evaluation Set-up'!$D$11, DATE($Y31, N$12, 1) &gt;= 'Evaluation Set-up'!$E$11), "", "After")</f>
        <v/>
      </c>
      <c r="AD31" s="1" t="str">
        <f>IF(OR(DATE($Y31, O$12, 1) &lt; 'Evaluation Set-up'!$D$11, DATE($Y31, O$12, 1) &gt;= 'Evaluation Set-up'!$E$11), "", "After")</f>
        <v/>
      </c>
      <c r="AE31" s="1" t="str">
        <f>IF(OR(DATE($Y31, P$12, 1) &lt; 'Evaluation Set-up'!$D$11, DATE($Y31, P$12, 1) &gt;= 'Evaluation Set-up'!$E$11), "", "After")</f>
        <v/>
      </c>
      <c r="AF31" s="1" t="str">
        <f>IF(OR(DATE($Y31, Q$12, 1) &lt; 'Evaluation Set-up'!$D$11, DATE($Y31, Q$12, 1) &gt;= 'Evaluation Set-up'!$E$11), "", "After")</f>
        <v/>
      </c>
      <c r="AG31" s="1" t="str">
        <f>IF(OR(DATE($Y31, R$12, 1) &lt; 'Evaluation Set-up'!$D$11, DATE($Y31, R$12, 1) &gt;= 'Evaluation Set-up'!$E$11), "", "After")</f>
        <v/>
      </c>
      <c r="AH31" s="1" t="str">
        <f>IF(OR(DATE($Y31, S$12, 1) &lt; 'Evaluation Set-up'!$D$11, DATE($Y31, S$12, 1) &gt;= 'Evaluation Set-up'!$E$11), "", "After")</f>
        <v/>
      </c>
      <c r="AI31" s="1" t="str">
        <f>IF(OR(DATE($Y31, T$12, 1) &lt; 'Evaluation Set-up'!$D$11, DATE($Y31, T$12, 1) &gt;= 'Evaluation Set-up'!$E$11), "", "After")</f>
        <v/>
      </c>
      <c r="AJ31" s="1" t="str">
        <f>IF(OR(DATE($Y31, U$12, 1) &lt; 'Evaluation Set-up'!$D$11, DATE($Y31, U$12, 1) &gt;= 'Evaluation Set-up'!$E$11), "", "After")</f>
        <v/>
      </c>
      <c r="AK31" s="1" t="str">
        <f>IF(OR(DATE($Y31, V$12, 1) &lt; 'Evaluation Set-up'!$D$11, DATE($Y31, V$12, 1) &gt;= 'Evaluation Set-up'!$E$11), "", "After")</f>
        <v/>
      </c>
      <c r="AL31" s="70" t="str">
        <f>IF(OR(DATE($Y31, W$12, 1) &lt; 'Evaluation Set-up'!$D$11, DATE($Y31, W$12, 1) &gt;= 'Evaluation Set-up'!$E$11), "", "After")</f>
        <v/>
      </c>
    </row>
    <row r="32" spans="2:38">
      <c r="B32" s="77">
        <v>2029</v>
      </c>
      <c r="C32" s="81">
        <f>COUNTIF(Before!$Q:$Q,B32) + COUNTIF(After!$Q:$Q,B32)</f>
        <v>0</v>
      </c>
      <c r="D32" s="34">
        <f>COUNTIFS(Before!$C:$C,"&gt;=23",Before!$C:$C,"&lt;=27", Before!$Q:$Q,B32)+COUNTIFS(Before!$C:$C,"30", Before!$Q:$Q,B32) + COUNTIFS(After!$C:$C,"&gt;=23",After!$C:$C,"&lt;=27", After!$Q:$Q,B32)+COUNTIFS(After!$C:$C,"30", After!$Q:$Q,B32)</f>
        <v>0</v>
      </c>
      <c r="E32" s="34">
        <f>COUNTIFS(Before!$C:$C,"&gt;=21",Before!$C:$C,"&lt;=22", Before!$Q:$Q,B32) + COUNTIFS(After!$C:$C,"&gt;=21",After!$C:$C,"&lt;=22", After!$Q:$Q,B32)</f>
        <v>0</v>
      </c>
      <c r="F32" s="82">
        <f>COUNTIFS(Before!$Q:$Q,$B32, Before!$G:$G, "K") + COUNTIFS(Before!$Q:$Q,$B32, Before!$G:$G, "A") + COUNTIFS(Before!$Q:$Q,$B32, Before!$G:$G, "B") + COUNTIFS(Before!$Q:$Q,$B32, Before!$G:$G, "C")
+ COUNTIFS(After!$Q:$Q,$B32, After!$G:$G, "K") + COUNTIFS(After!$Q:$Q,$B32, After!$G:$G, "A") + COUNTIFS(After!$Q:$Q,$B32, After!$G:$G, "B") + COUNTIFS(After!$Q:$Q,$B32, After!$G:$G, "C")</f>
        <v>0</v>
      </c>
      <c r="G32" s="85" t="str">
        <f>VLOOKUP($B32, 'Evaluation Set-up'!$K$11:$R$35, 4, FALSE)</f>
        <v/>
      </c>
      <c r="H32" s="86" t="str">
        <f>VLOOKUP($B32, 'Evaluation Set-up'!$K$11:$R$35, 7, FALSE)</f>
        <v/>
      </c>
      <c r="J32" s="49">
        <v>2029</v>
      </c>
      <c r="K32" s="65">
        <f t="shared" si="0"/>
        <v>0</v>
      </c>
      <c r="L32" s="1" t="str">
        <f>IF(OR(DATE($J32, L$12, 1) &lt; 'Evaluation Set-up'!$D$9, DATE($J32, L$12, 1) &gt;= 'Evaluation Set-up'!$E$9), "", "Before")</f>
        <v/>
      </c>
      <c r="M32" s="1" t="str">
        <f>IF(OR(DATE($J32, M$12, 1) &lt; 'Evaluation Set-up'!$D$9, DATE($J32, M$12, 1) &gt;= 'Evaluation Set-up'!$E$9), "", "Before")</f>
        <v/>
      </c>
      <c r="N32" s="1" t="str">
        <f>IF(OR(DATE($J32, N$12, 1) &lt; 'Evaluation Set-up'!$D$9, DATE($J32, N$12, 1) &gt;= 'Evaluation Set-up'!$E$9), "", "Before")</f>
        <v/>
      </c>
      <c r="O32" s="1" t="str">
        <f>IF(OR(DATE($J32, O$12, 1) &lt; 'Evaluation Set-up'!$D$9, DATE($J32, O$12, 1) &gt;= 'Evaluation Set-up'!$E$9), "", "Before")</f>
        <v/>
      </c>
      <c r="P32" s="1" t="str">
        <f>IF(OR(DATE($J32, P$12, 1) &lt; 'Evaluation Set-up'!$D$9, DATE($J32, P$12, 1) &gt;= 'Evaluation Set-up'!$E$9), "", "Before")</f>
        <v/>
      </c>
      <c r="Q32" s="1" t="str">
        <f>IF(OR(DATE($J32, Q$12, 1) &lt; 'Evaluation Set-up'!$D$9, DATE($J32, Q$12, 1) &gt;= 'Evaluation Set-up'!$E$9), "", "Before")</f>
        <v/>
      </c>
      <c r="R32" s="1" t="str">
        <f>IF(OR(DATE($J32, R$12, 1) &lt; 'Evaluation Set-up'!$D$9, DATE($J32, R$12, 1) &gt;= 'Evaluation Set-up'!$E$9), "", "Before")</f>
        <v/>
      </c>
      <c r="S32" s="1" t="str">
        <f>IF(OR(DATE($J32, S$12, 1) &lt; 'Evaluation Set-up'!$D$9, DATE($J32, S$12, 1) &gt;= 'Evaluation Set-up'!$E$9), "", "Before")</f>
        <v/>
      </c>
      <c r="T32" s="1" t="str">
        <f>IF(OR(DATE($J32, T$12, 1) &lt; 'Evaluation Set-up'!$D$9, DATE($J32, T$12, 1) &gt;= 'Evaluation Set-up'!$E$9), "", "Before")</f>
        <v/>
      </c>
      <c r="U32" s="1" t="str">
        <f>IF(OR(DATE($J32, U$12, 1) &lt; 'Evaluation Set-up'!$D$9, DATE($J32, U$12, 1) &gt;= 'Evaluation Set-up'!$E$9), "", "Before")</f>
        <v/>
      </c>
      <c r="V32" s="1" t="str">
        <f>IF(OR(DATE($J32, V$12, 1) &lt; 'Evaluation Set-up'!$D$9, DATE($J32, V$12, 1) &gt;= 'Evaluation Set-up'!$E$9), "", "Before")</f>
        <v/>
      </c>
      <c r="W32" s="70" t="str">
        <f>IF(OR(DATE($J32, W$12, 1) &lt; 'Evaluation Set-up'!$D$9, DATE($J32, W$12, 1) &gt;= 'Evaluation Set-up'!$E$9), "", "Before")</f>
        <v/>
      </c>
      <c r="X32" s="1"/>
      <c r="Y32" s="49">
        <v>2029</v>
      </c>
      <c r="Z32" s="65">
        <f t="shared" si="1"/>
        <v>0</v>
      </c>
      <c r="AA32" s="1" t="str">
        <f>IF(OR(DATE($Y32, L$12, 1) &lt; 'Evaluation Set-up'!$D$11, DATE($Y32, L$12, 1) &gt;= 'Evaluation Set-up'!$E$11), "", "After")</f>
        <v/>
      </c>
      <c r="AB32" s="1" t="str">
        <f>IF(OR(DATE($Y32, M$12, 1) &lt; 'Evaluation Set-up'!$D$11, DATE($Y32, M$12, 1) &gt;= 'Evaluation Set-up'!$E$11), "", "After")</f>
        <v/>
      </c>
      <c r="AC32" s="1" t="str">
        <f>IF(OR(DATE($Y32, N$12, 1) &lt; 'Evaluation Set-up'!$D$11, DATE($Y32, N$12, 1) &gt;= 'Evaluation Set-up'!$E$11), "", "After")</f>
        <v/>
      </c>
      <c r="AD32" s="1" t="str">
        <f>IF(OR(DATE($Y32, O$12, 1) &lt; 'Evaluation Set-up'!$D$11, DATE($Y32, O$12, 1) &gt;= 'Evaluation Set-up'!$E$11), "", "After")</f>
        <v/>
      </c>
      <c r="AE32" s="1" t="str">
        <f>IF(OR(DATE($Y32, P$12, 1) &lt; 'Evaluation Set-up'!$D$11, DATE($Y32, P$12, 1) &gt;= 'Evaluation Set-up'!$E$11), "", "After")</f>
        <v/>
      </c>
      <c r="AF32" s="1" t="str">
        <f>IF(OR(DATE($Y32, Q$12, 1) &lt; 'Evaluation Set-up'!$D$11, DATE($Y32, Q$12, 1) &gt;= 'Evaluation Set-up'!$E$11), "", "After")</f>
        <v/>
      </c>
      <c r="AG32" s="1" t="str">
        <f>IF(OR(DATE($Y32, R$12, 1) &lt; 'Evaluation Set-up'!$D$11, DATE($Y32, R$12, 1) &gt;= 'Evaluation Set-up'!$E$11), "", "After")</f>
        <v/>
      </c>
      <c r="AH32" s="1" t="str">
        <f>IF(OR(DATE($Y32, S$12, 1) &lt; 'Evaluation Set-up'!$D$11, DATE($Y32, S$12, 1) &gt;= 'Evaluation Set-up'!$E$11), "", "After")</f>
        <v/>
      </c>
      <c r="AI32" s="1" t="str">
        <f>IF(OR(DATE($Y32, T$12, 1) &lt; 'Evaluation Set-up'!$D$11, DATE($Y32, T$12, 1) &gt;= 'Evaluation Set-up'!$E$11), "", "After")</f>
        <v/>
      </c>
      <c r="AJ32" s="1" t="str">
        <f>IF(OR(DATE($Y32, U$12, 1) &lt; 'Evaluation Set-up'!$D$11, DATE($Y32, U$12, 1) &gt;= 'Evaluation Set-up'!$E$11), "", "After")</f>
        <v/>
      </c>
      <c r="AK32" s="1" t="str">
        <f>IF(OR(DATE($Y32, V$12, 1) &lt; 'Evaluation Set-up'!$D$11, DATE($Y32, V$12, 1) &gt;= 'Evaluation Set-up'!$E$11), "", "After")</f>
        <v/>
      </c>
      <c r="AL32" s="70" t="str">
        <f>IF(OR(DATE($Y32, W$12, 1) &lt; 'Evaluation Set-up'!$D$11, DATE($Y32, W$12, 1) &gt;= 'Evaluation Set-up'!$E$11), "", "After")</f>
        <v/>
      </c>
    </row>
    <row r="33" spans="2:44">
      <c r="B33" s="77">
        <v>2030</v>
      </c>
      <c r="C33" s="81">
        <f>COUNTIF(Before!$Q:$Q,B33) + COUNTIF(After!$Q:$Q,B33)</f>
        <v>0</v>
      </c>
      <c r="D33" s="34">
        <f>COUNTIFS(Before!$C:$C,"&gt;=23",Before!$C:$C,"&lt;=27", Before!$Q:$Q,B33)+COUNTIFS(Before!$C:$C,"30", Before!$Q:$Q,B33) + COUNTIFS(After!$C:$C,"&gt;=23",After!$C:$C,"&lt;=27", After!$Q:$Q,B33)+COUNTIFS(After!$C:$C,"30", After!$Q:$Q,B33)</f>
        <v>0</v>
      </c>
      <c r="E33" s="34">
        <f>COUNTIFS(Before!$C:$C,"&gt;=21",Before!$C:$C,"&lt;=22", Before!$Q:$Q,B33) + COUNTIFS(After!$C:$C,"&gt;=21",After!$C:$C,"&lt;=22", After!$Q:$Q,B33)</f>
        <v>0</v>
      </c>
      <c r="F33" s="82">
        <f>COUNTIFS(Before!$Q:$Q,$B33, Before!$G:$G, "K") + COUNTIFS(Before!$Q:$Q,$B33, Before!$G:$G, "A") + COUNTIFS(Before!$Q:$Q,$B33, Before!$G:$G, "B") + COUNTIFS(Before!$Q:$Q,$B33, Before!$G:$G, "C")
+ COUNTIFS(After!$Q:$Q,$B33, After!$G:$G, "K") + COUNTIFS(After!$Q:$Q,$B33, After!$G:$G, "A") + COUNTIFS(After!$Q:$Q,$B33, After!$G:$G, "B") + COUNTIFS(After!$Q:$Q,$B33, After!$G:$G, "C")</f>
        <v>0</v>
      </c>
      <c r="G33" s="85" t="str">
        <f>VLOOKUP($B33, 'Evaluation Set-up'!$K$11:$R$35, 4, FALSE)</f>
        <v/>
      </c>
      <c r="H33" s="86" t="str">
        <f>VLOOKUP($B33, 'Evaluation Set-up'!$K$11:$R$35, 7, FALSE)</f>
        <v/>
      </c>
      <c r="J33" s="49">
        <v>2030</v>
      </c>
      <c r="K33" s="65">
        <f t="shared" si="0"/>
        <v>0</v>
      </c>
      <c r="L33" s="1" t="str">
        <f>IF(OR(DATE($J33, L$12, 1) &lt; 'Evaluation Set-up'!$D$9, DATE($J33, L$12, 1) &gt;= 'Evaluation Set-up'!$E$9), "", "Before")</f>
        <v/>
      </c>
      <c r="M33" s="1" t="str">
        <f>IF(OR(DATE($J33, M$12, 1) &lt; 'Evaluation Set-up'!$D$9, DATE($J33, M$12, 1) &gt;= 'Evaluation Set-up'!$E$9), "", "Before")</f>
        <v/>
      </c>
      <c r="N33" s="1" t="str">
        <f>IF(OR(DATE($J33, N$12, 1) &lt; 'Evaluation Set-up'!$D$9, DATE($J33, N$12, 1) &gt;= 'Evaluation Set-up'!$E$9), "", "Before")</f>
        <v/>
      </c>
      <c r="O33" s="1" t="str">
        <f>IF(OR(DATE($J33, O$12, 1) &lt; 'Evaluation Set-up'!$D$9, DATE($J33, O$12, 1) &gt;= 'Evaluation Set-up'!$E$9), "", "Before")</f>
        <v/>
      </c>
      <c r="P33" s="1" t="str">
        <f>IF(OR(DATE($J33, P$12, 1) &lt; 'Evaluation Set-up'!$D$9, DATE($J33, P$12, 1) &gt;= 'Evaluation Set-up'!$E$9), "", "Before")</f>
        <v/>
      </c>
      <c r="Q33" s="1" t="str">
        <f>IF(OR(DATE($J33, Q$12, 1) &lt; 'Evaluation Set-up'!$D$9, DATE($J33, Q$12, 1) &gt;= 'Evaluation Set-up'!$E$9), "", "Before")</f>
        <v/>
      </c>
      <c r="R33" s="1" t="str">
        <f>IF(OR(DATE($J33, R$12, 1) &lt; 'Evaluation Set-up'!$D$9, DATE($J33, R$12, 1) &gt;= 'Evaluation Set-up'!$E$9), "", "Before")</f>
        <v/>
      </c>
      <c r="S33" s="1" t="str">
        <f>IF(OR(DATE($J33, S$12, 1) &lt; 'Evaluation Set-up'!$D$9, DATE($J33, S$12, 1) &gt;= 'Evaluation Set-up'!$E$9), "", "Before")</f>
        <v/>
      </c>
      <c r="T33" s="1" t="str">
        <f>IF(OR(DATE($J33, T$12, 1) &lt; 'Evaluation Set-up'!$D$9, DATE($J33, T$12, 1) &gt;= 'Evaluation Set-up'!$E$9), "", "Before")</f>
        <v/>
      </c>
      <c r="U33" s="1" t="str">
        <f>IF(OR(DATE($J33, U$12, 1) &lt; 'Evaluation Set-up'!$D$9, DATE($J33, U$12, 1) &gt;= 'Evaluation Set-up'!$E$9), "", "Before")</f>
        <v/>
      </c>
      <c r="V33" s="1" t="str">
        <f>IF(OR(DATE($J33, V$12, 1) &lt; 'Evaluation Set-up'!$D$9, DATE($J33, V$12, 1) &gt;= 'Evaluation Set-up'!$E$9), "", "Before")</f>
        <v/>
      </c>
      <c r="W33" s="70" t="str">
        <f>IF(OR(DATE($J33, W$12, 1) &lt; 'Evaluation Set-up'!$D$9, DATE($J33, W$12, 1) &gt;= 'Evaluation Set-up'!$E$9), "", "Before")</f>
        <v/>
      </c>
      <c r="X33" s="1"/>
      <c r="Y33" s="49">
        <v>2030</v>
      </c>
      <c r="Z33" s="65">
        <f t="shared" si="1"/>
        <v>0</v>
      </c>
      <c r="AA33" s="1" t="str">
        <f>IF(OR(DATE($Y33, L$12, 1) &lt; 'Evaluation Set-up'!$D$11, DATE($Y33, L$12, 1) &gt;= 'Evaluation Set-up'!$E$11), "", "After")</f>
        <v/>
      </c>
      <c r="AB33" s="1" t="str">
        <f>IF(OR(DATE($Y33, M$12, 1) &lt; 'Evaluation Set-up'!$D$11, DATE($Y33, M$12, 1) &gt;= 'Evaluation Set-up'!$E$11), "", "After")</f>
        <v/>
      </c>
      <c r="AC33" s="1" t="str">
        <f>IF(OR(DATE($Y33, N$12, 1) &lt; 'Evaluation Set-up'!$D$11, DATE($Y33, N$12, 1) &gt;= 'Evaluation Set-up'!$E$11), "", "After")</f>
        <v/>
      </c>
      <c r="AD33" s="1" t="str">
        <f>IF(OR(DATE($Y33, O$12, 1) &lt; 'Evaluation Set-up'!$D$11, DATE($Y33, O$12, 1) &gt;= 'Evaluation Set-up'!$E$11), "", "After")</f>
        <v/>
      </c>
      <c r="AE33" s="1" t="str">
        <f>IF(OR(DATE($Y33, P$12, 1) &lt; 'Evaluation Set-up'!$D$11, DATE($Y33, P$12, 1) &gt;= 'Evaluation Set-up'!$E$11), "", "After")</f>
        <v/>
      </c>
      <c r="AF33" s="1" t="str">
        <f>IF(OR(DATE($Y33, Q$12, 1) &lt; 'Evaluation Set-up'!$D$11, DATE($Y33, Q$12, 1) &gt;= 'Evaluation Set-up'!$E$11), "", "After")</f>
        <v/>
      </c>
      <c r="AG33" s="1" t="str">
        <f>IF(OR(DATE($Y33, R$12, 1) &lt; 'Evaluation Set-up'!$D$11, DATE($Y33, R$12, 1) &gt;= 'Evaluation Set-up'!$E$11), "", "After")</f>
        <v/>
      </c>
      <c r="AH33" s="1" t="str">
        <f>IF(OR(DATE($Y33, S$12, 1) &lt; 'Evaluation Set-up'!$D$11, DATE($Y33, S$12, 1) &gt;= 'Evaluation Set-up'!$E$11), "", "After")</f>
        <v/>
      </c>
      <c r="AI33" s="1" t="str">
        <f>IF(OR(DATE($Y33, T$12, 1) &lt; 'Evaluation Set-up'!$D$11, DATE($Y33, T$12, 1) &gt;= 'Evaluation Set-up'!$E$11), "", "After")</f>
        <v/>
      </c>
      <c r="AJ33" s="1" t="str">
        <f>IF(OR(DATE($Y33, U$12, 1) &lt; 'Evaluation Set-up'!$D$11, DATE($Y33, U$12, 1) &gt;= 'Evaluation Set-up'!$E$11), "", "After")</f>
        <v/>
      </c>
      <c r="AK33" s="1" t="str">
        <f>IF(OR(DATE($Y33, V$12, 1) &lt; 'Evaluation Set-up'!$D$11, DATE($Y33, V$12, 1) &gt;= 'Evaluation Set-up'!$E$11), "", "After")</f>
        <v/>
      </c>
      <c r="AL33" s="70" t="str">
        <f>IF(OR(DATE($Y33, W$12, 1) &lt; 'Evaluation Set-up'!$D$11, DATE($Y33, W$12, 1) &gt;= 'Evaluation Set-up'!$E$11), "", "After")</f>
        <v/>
      </c>
    </row>
    <row r="34" spans="2:44">
      <c r="B34" s="77">
        <v>2031</v>
      </c>
      <c r="C34" s="81">
        <f>COUNTIF(Before!$Q:$Q,B34) + COUNTIF(After!$Q:$Q,B34)</f>
        <v>0</v>
      </c>
      <c r="D34" s="34">
        <f>COUNTIFS(Before!$C:$C,"&gt;=23",Before!$C:$C,"&lt;=27", Before!$Q:$Q,B34)+COUNTIFS(Before!$C:$C,"30", Before!$Q:$Q,B34) + COUNTIFS(After!$C:$C,"&gt;=23",After!$C:$C,"&lt;=27", After!$Q:$Q,B34)+COUNTIFS(After!$C:$C,"30", After!$Q:$Q,B34)</f>
        <v>0</v>
      </c>
      <c r="E34" s="34">
        <f>COUNTIFS(Before!$C:$C,"&gt;=21",Before!$C:$C,"&lt;=22", Before!$Q:$Q,B34) + COUNTIFS(After!$C:$C,"&gt;=21",After!$C:$C,"&lt;=22", After!$Q:$Q,B34)</f>
        <v>0</v>
      </c>
      <c r="F34" s="82">
        <f>COUNTIFS(Before!$Q:$Q,$B34, Before!$G:$G, "K") + COUNTIFS(Before!$Q:$Q,$B34, Before!$G:$G, "A") + COUNTIFS(Before!$Q:$Q,$B34, Before!$G:$G, "B") + COUNTIFS(Before!$Q:$Q,$B34, Before!$G:$G, "C")
+ COUNTIFS(After!$Q:$Q,$B34, After!$G:$G, "K") + COUNTIFS(After!$Q:$Q,$B34, After!$G:$G, "A") + COUNTIFS(After!$Q:$Q,$B34, After!$G:$G, "B") + COUNTIFS(After!$Q:$Q,$B34, After!$G:$G, "C")</f>
        <v>0</v>
      </c>
      <c r="G34" s="85" t="str">
        <f>VLOOKUP($B34, 'Evaluation Set-up'!$K$11:$R$35, 4, FALSE)</f>
        <v/>
      </c>
      <c r="H34" s="86" t="str">
        <f>VLOOKUP($B34, 'Evaluation Set-up'!$K$11:$R$35, 7, FALSE)</f>
        <v/>
      </c>
      <c r="J34" s="49">
        <v>2031</v>
      </c>
      <c r="K34" s="65">
        <f t="shared" si="0"/>
        <v>0</v>
      </c>
      <c r="L34" s="1" t="str">
        <f>IF(OR(DATE($J34, L$12, 1) &lt; 'Evaluation Set-up'!$D$9, DATE($J34, L$12, 1) &gt;= 'Evaluation Set-up'!$E$9), "", "Before")</f>
        <v/>
      </c>
      <c r="M34" s="1" t="str">
        <f>IF(OR(DATE($J34, M$12, 1) &lt; 'Evaluation Set-up'!$D$9, DATE($J34, M$12, 1) &gt;= 'Evaluation Set-up'!$E$9), "", "Before")</f>
        <v/>
      </c>
      <c r="N34" s="1" t="str">
        <f>IF(OR(DATE($J34, N$12, 1) &lt; 'Evaluation Set-up'!$D$9, DATE($J34, N$12, 1) &gt;= 'Evaluation Set-up'!$E$9), "", "Before")</f>
        <v/>
      </c>
      <c r="O34" s="1" t="str">
        <f>IF(OR(DATE($J34, O$12, 1) &lt; 'Evaluation Set-up'!$D$9, DATE($J34, O$12, 1) &gt;= 'Evaluation Set-up'!$E$9), "", "Before")</f>
        <v/>
      </c>
      <c r="P34" s="1" t="str">
        <f>IF(OR(DATE($J34, P$12, 1) &lt; 'Evaluation Set-up'!$D$9, DATE($J34, P$12, 1) &gt;= 'Evaluation Set-up'!$E$9), "", "Before")</f>
        <v/>
      </c>
      <c r="Q34" s="1" t="str">
        <f>IF(OR(DATE($J34, Q$12, 1) &lt; 'Evaluation Set-up'!$D$9, DATE($J34, Q$12, 1) &gt;= 'Evaluation Set-up'!$E$9), "", "Before")</f>
        <v/>
      </c>
      <c r="R34" s="1" t="str">
        <f>IF(OR(DATE($J34, R$12, 1) &lt; 'Evaluation Set-up'!$D$9, DATE($J34, R$12, 1) &gt;= 'Evaluation Set-up'!$E$9), "", "Before")</f>
        <v/>
      </c>
      <c r="S34" s="1" t="str">
        <f>IF(OR(DATE($J34, S$12, 1) &lt; 'Evaluation Set-up'!$D$9, DATE($J34, S$12, 1) &gt;= 'Evaluation Set-up'!$E$9), "", "Before")</f>
        <v/>
      </c>
      <c r="T34" s="1" t="str">
        <f>IF(OR(DATE($J34, T$12, 1) &lt; 'Evaluation Set-up'!$D$9, DATE($J34, T$12, 1) &gt;= 'Evaluation Set-up'!$E$9), "", "Before")</f>
        <v/>
      </c>
      <c r="U34" s="1" t="str">
        <f>IF(OR(DATE($J34, U$12, 1) &lt; 'Evaluation Set-up'!$D$9, DATE($J34, U$12, 1) &gt;= 'Evaluation Set-up'!$E$9), "", "Before")</f>
        <v/>
      </c>
      <c r="V34" s="1" t="str">
        <f>IF(OR(DATE($J34, V$12, 1) &lt; 'Evaluation Set-up'!$D$9, DATE($J34, V$12, 1) &gt;= 'Evaluation Set-up'!$E$9), "", "Before")</f>
        <v/>
      </c>
      <c r="W34" s="70" t="str">
        <f>IF(OR(DATE($J34, W$12, 1) &lt; 'Evaluation Set-up'!$D$9, DATE($J34, W$12, 1) &gt;= 'Evaluation Set-up'!$E$9), "", "Before")</f>
        <v/>
      </c>
      <c r="X34" s="1"/>
      <c r="Y34" s="49">
        <v>2031</v>
      </c>
      <c r="Z34" s="65">
        <f t="shared" si="1"/>
        <v>0</v>
      </c>
      <c r="AA34" s="1" t="str">
        <f>IF(OR(DATE($Y34, L$12, 1) &lt; 'Evaluation Set-up'!$D$11, DATE($Y34, L$12, 1) &gt;= 'Evaluation Set-up'!$E$11), "", "After")</f>
        <v/>
      </c>
      <c r="AB34" s="1" t="str">
        <f>IF(OR(DATE($Y34, M$12, 1) &lt; 'Evaluation Set-up'!$D$11, DATE($Y34, M$12, 1) &gt;= 'Evaluation Set-up'!$E$11), "", "After")</f>
        <v/>
      </c>
      <c r="AC34" s="1" t="str">
        <f>IF(OR(DATE($Y34, N$12, 1) &lt; 'Evaluation Set-up'!$D$11, DATE($Y34, N$12, 1) &gt;= 'Evaluation Set-up'!$E$11), "", "After")</f>
        <v/>
      </c>
      <c r="AD34" s="1" t="str">
        <f>IF(OR(DATE($Y34, O$12, 1) &lt; 'Evaluation Set-up'!$D$11, DATE($Y34, O$12, 1) &gt;= 'Evaluation Set-up'!$E$11), "", "After")</f>
        <v/>
      </c>
      <c r="AE34" s="1" t="str">
        <f>IF(OR(DATE($Y34, P$12, 1) &lt; 'Evaluation Set-up'!$D$11, DATE($Y34, P$12, 1) &gt;= 'Evaluation Set-up'!$E$11), "", "After")</f>
        <v/>
      </c>
      <c r="AF34" s="1" t="str">
        <f>IF(OR(DATE($Y34, Q$12, 1) &lt; 'Evaluation Set-up'!$D$11, DATE($Y34, Q$12, 1) &gt;= 'Evaluation Set-up'!$E$11), "", "After")</f>
        <v/>
      </c>
      <c r="AG34" s="1" t="str">
        <f>IF(OR(DATE($Y34, R$12, 1) &lt; 'Evaluation Set-up'!$D$11, DATE($Y34, R$12, 1) &gt;= 'Evaluation Set-up'!$E$11), "", "After")</f>
        <v/>
      </c>
      <c r="AH34" s="1" t="str">
        <f>IF(OR(DATE($Y34, S$12, 1) &lt; 'Evaluation Set-up'!$D$11, DATE($Y34, S$12, 1) &gt;= 'Evaluation Set-up'!$E$11), "", "After")</f>
        <v/>
      </c>
      <c r="AI34" s="1" t="str">
        <f>IF(OR(DATE($Y34, T$12, 1) &lt; 'Evaluation Set-up'!$D$11, DATE($Y34, T$12, 1) &gt;= 'Evaluation Set-up'!$E$11), "", "After")</f>
        <v/>
      </c>
      <c r="AJ34" s="1" t="str">
        <f>IF(OR(DATE($Y34, U$12, 1) &lt; 'Evaluation Set-up'!$D$11, DATE($Y34, U$12, 1) &gt;= 'Evaluation Set-up'!$E$11), "", "After")</f>
        <v/>
      </c>
      <c r="AK34" s="1" t="str">
        <f>IF(OR(DATE($Y34, V$12, 1) &lt; 'Evaluation Set-up'!$D$11, DATE($Y34, V$12, 1) &gt;= 'Evaluation Set-up'!$E$11), "", "After")</f>
        <v/>
      </c>
      <c r="AL34" s="70" t="str">
        <f>IF(OR(DATE($Y34, W$12, 1) &lt; 'Evaluation Set-up'!$D$11, DATE($Y34, W$12, 1) &gt;= 'Evaluation Set-up'!$E$11), "", "After")</f>
        <v/>
      </c>
    </row>
    <row r="35" spans="2:44">
      <c r="B35" s="77">
        <v>2032</v>
      </c>
      <c r="C35" s="81">
        <f>COUNTIF(Before!$Q:$Q,B35) + COUNTIF(After!$Q:$Q,B35)</f>
        <v>0</v>
      </c>
      <c r="D35" s="34">
        <f>COUNTIFS(Before!$C:$C,"&gt;=23",Before!$C:$C,"&lt;=27", Before!$Q:$Q,B35)+COUNTIFS(Before!$C:$C,"30", Before!$Q:$Q,B35) + COUNTIFS(After!$C:$C,"&gt;=23",After!$C:$C,"&lt;=27", After!$Q:$Q,B35)+COUNTIFS(After!$C:$C,"30", After!$Q:$Q,B35)</f>
        <v>0</v>
      </c>
      <c r="E35" s="34">
        <f>COUNTIFS(Before!$C:$C,"&gt;=21",Before!$C:$C,"&lt;=22", Before!$Q:$Q,B35) + COUNTIFS(After!$C:$C,"&gt;=21",After!$C:$C,"&lt;=22", After!$Q:$Q,B35)</f>
        <v>0</v>
      </c>
      <c r="F35" s="82">
        <f>COUNTIFS(Before!$Q:$Q,$B35, Before!$G:$G, "K") + COUNTIFS(Before!$Q:$Q,$B35, Before!$G:$G, "A") + COUNTIFS(Before!$Q:$Q,$B35, Before!$G:$G, "B") + COUNTIFS(Before!$Q:$Q,$B35, Before!$G:$G, "C")
+ COUNTIFS(After!$Q:$Q,$B35, After!$G:$G, "K") + COUNTIFS(After!$Q:$Q,$B35, After!$G:$G, "A") + COUNTIFS(After!$Q:$Q,$B35, After!$G:$G, "B") + COUNTIFS(After!$Q:$Q,$B35, After!$G:$G, "C")</f>
        <v>0</v>
      </c>
      <c r="G35" s="85" t="str">
        <f>VLOOKUP($B35, 'Evaluation Set-up'!$K$11:$R$35, 4, FALSE)</f>
        <v/>
      </c>
      <c r="H35" s="86" t="str">
        <f>VLOOKUP($B35, 'Evaluation Set-up'!$K$11:$R$35, 7, FALSE)</f>
        <v/>
      </c>
      <c r="J35" s="49">
        <v>2032</v>
      </c>
      <c r="K35" s="65">
        <f t="shared" si="0"/>
        <v>0</v>
      </c>
      <c r="L35" s="1" t="str">
        <f>IF(OR(DATE($J35, L$12, 1) &lt; 'Evaluation Set-up'!$D$9, DATE($J35, L$12, 1) &gt;= 'Evaluation Set-up'!$E$9), "", "Before")</f>
        <v/>
      </c>
      <c r="M35" s="1" t="str">
        <f>IF(OR(DATE($J35, M$12, 1) &lt; 'Evaluation Set-up'!$D$9, DATE($J35, M$12, 1) &gt;= 'Evaluation Set-up'!$E$9), "", "Before")</f>
        <v/>
      </c>
      <c r="N35" s="1" t="str">
        <f>IF(OR(DATE($J35, N$12, 1) &lt; 'Evaluation Set-up'!$D$9, DATE($J35, N$12, 1) &gt;= 'Evaluation Set-up'!$E$9), "", "Before")</f>
        <v/>
      </c>
      <c r="O35" s="1" t="str">
        <f>IF(OR(DATE($J35, O$12, 1) &lt; 'Evaluation Set-up'!$D$9, DATE($J35, O$12, 1) &gt;= 'Evaluation Set-up'!$E$9), "", "Before")</f>
        <v/>
      </c>
      <c r="P35" s="1" t="str">
        <f>IF(OR(DATE($J35, P$12, 1) &lt; 'Evaluation Set-up'!$D$9, DATE($J35, P$12, 1) &gt;= 'Evaluation Set-up'!$E$9), "", "Before")</f>
        <v/>
      </c>
      <c r="Q35" s="1" t="str">
        <f>IF(OR(DATE($J35, Q$12, 1) &lt; 'Evaluation Set-up'!$D$9, DATE($J35, Q$12, 1) &gt;= 'Evaluation Set-up'!$E$9), "", "Before")</f>
        <v/>
      </c>
      <c r="R35" s="1" t="str">
        <f>IF(OR(DATE($J35, R$12, 1) &lt; 'Evaluation Set-up'!$D$9, DATE($J35, R$12, 1) &gt;= 'Evaluation Set-up'!$E$9), "", "Before")</f>
        <v/>
      </c>
      <c r="S35" s="1" t="str">
        <f>IF(OR(DATE($J35, S$12, 1) &lt; 'Evaluation Set-up'!$D$9, DATE($J35, S$12, 1) &gt;= 'Evaluation Set-up'!$E$9), "", "Before")</f>
        <v/>
      </c>
      <c r="T35" s="1" t="str">
        <f>IF(OR(DATE($J35, T$12, 1) &lt; 'Evaluation Set-up'!$D$9, DATE($J35, T$12, 1) &gt;= 'Evaluation Set-up'!$E$9), "", "Before")</f>
        <v/>
      </c>
      <c r="U35" s="1" t="str">
        <f>IF(OR(DATE($J35, U$12, 1) &lt; 'Evaluation Set-up'!$D$9, DATE($J35, U$12, 1) &gt;= 'Evaluation Set-up'!$E$9), "", "Before")</f>
        <v/>
      </c>
      <c r="V35" s="1" t="str">
        <f>IF(OR(DATE($J35, V$12, 1) &lt; 'Evaluation Set-up'!$D$9, DATE($J35, V$12, 1) &gt;= 'Evaluation Set-up'!$E$9), "", "Before")</f>
        <v/>
      </c>
      <c r="W35" s="70" t="str">
        <f>IF(OR(DATE($J35, W$12, 1) &lt; 'Evaluation Set-up'!$D$9, DATE($J35, W$12, 1) &gt;= 'Evaluation Set-up'!$E$9), "", "Before")</f>
        <v/>
      </c>
      <c r="X35" s="1"/>
      <c r="Y35" s="49">
        <v>2032</v>
      </c>
      <c r="Z35" s="65">
        <f t="shared" si="1"/>
        <v>0</v>
      </c>
      <c r="AA35" s="1" t="str">
        <f>IF(OR(DATE($Y35, L$12, 1) &lt; 'Evaluation Set-up'!$D$11, DATE($Y35, L$12, 1) &gt;= 'Evaluation Set-up'!$E$11), "", "After")</f>
        <v/>
      </c>
      <c r="AB35" s="1" t="str">
        <f>IF(OR(DATE($Y35, M$12, 1) &lt; 'Evaluation Set-up'!$D$11, DATE($Y35, M$12, 1) &gt;= 'Evaluation Set-up'!$E$11), "", "After")</f>
        <v/>
      </c>
      <c r="AC35" s="1" t="str">
        <f>IF(OR(DATE($Y35, N$12, 1) &lt; 'Evaluation Set-up'!$D$11, DATE($Y35, N$12, 1) &gt;= 'Evaluation Set-up'!$E$11), "", "After")</f>
        <v/>
      </c>
      <c r="AD35" s="1" t="str">
        <f>IF(OR(DATE($Y35, O$12, 1) &lt; 'Evaluation Set-up'!$D$11, DATE($Y35, O$12, 1) &gt;= 'Evaluation Set-up'!$E$11), "", "After")</f>
        <v/>
      </c>
      <c r="AE35" s="1" t="str">
        <f>IF(OR(DATE($Y35, P$12, 1) &lt; 'Evaluation Set-up'!$D$11, DATE($Y35, P$12, 1) &gt;= 'Evaluation Set-up'!$E$11), "", "After")</f>
        <v/>
      </c>
      <c r="AF35" s="1" t="str">
        <f>IF(OR(DATE($Y35, Q$12, 1) &lt; 'Evaluation Set-up'!$D$11, DATE($Y35, Q$12, 1) &gt;= 'Evaluation Set-up'!$E$11), "", "After")</f>
        <v/>
      </c>
      <c r="AG35" s="1" t="str">
        <f>IF(OR(DATE($Y35, R$12, 1) &lt; 'Evaluation Set-up'!$D$11, DATE($Y35, R$12, 1) &gt;= 'Evaluation Set-up'!$E$11), "", "After")</f>
        <v/>
      </c>
      <c r="AH35" s="1" t="str">
        <f>IF(OR(DATE($Y35, S$12, 1) &lt; 'Evaluation Set-up'!$D$11, DATE($Y35, S$12, 1) &gt;= 'Evaluation Set-up'!$E$11), "", "After")</f>
        <v/>
      </c>
      <c r="AI35" s="1" t="str">
        <f>IF(OR(DATE($Y35, T$12, 1) &lt; 'Evaluation Set-up'!$D$11, DATE($Y35, T$12, 1) &gt;= 'Evaluation Set-up'!$E$11), "", "After")</f>
        <v/>
      </c>
      <c r="AJ35" s="1" t="str">
        <f>IF(OR(DATE($Y35, U$12, 1) &lt; 'Evaluation Set-up'!$D$11, DATE($Y35, U$12, 1) &gt;= 'Evaluation Set-up'!$E$11), "", "After")</f>
        <v/>
      </c>
      <c r="AK35" s="1" t="str">
        <f>IF(OR(DATE($Y35, V$12, 1) &lt; 'Evaluation Set-up'!$D$11, DATE($Y35, V$12, 1) &gt;= 'Evaluation Set-up'!$E$11), "", "After")</f>
        <v/>
      </c>
      <c r="AL35" s="70" t="str">
        <f>IF(OR(DATE($Y35, W$12, 1) &lt; 'Evaluation Set-up'!$D$11, DATE($Y35, W$12, 1) &gt;= 'Evaluation Set-up'!$E$11), "", "After")</f>
        <v/>
      </c>
    </row>
    <row r="36" spans="2:44">
      <c r="B36" s="77">
        <v>2033</v>
      </c>
      <c r="C36" s="81">
        <f>COUNTIF(Before!$Q:$Q,B36) + COUNTIF(After!$Q:$Q,B36)</f>
        <v>0</v>
      </c>
      <c r="D36" s="34">
        <f>COUNTIFS(Before!$C:$C,"&gt;=23",Before!$C:$C,"&lt;=27", Before!$Q:$Q,B36)+COUNTIFS(Before!$C:$C,"30", Before!$Q:$Q,B36) + COUNTIFS(After!$C:$C,"&gt;=23",After!$C:$C,"&lt;=27", After!$Q:$Q,B36)+COUNTIFS(After!$C:$C,"30", After!$Q:$Q,B36)</f>
        <v>0</v>
      </c>
      <c r="E36" s="34">
        <f>COUNTIFS(Before!$C:$C,"&gt;=21",Before!$C:$C,"&lt;=22", Before!$Q:$Q,B36) + COUNTIFS(After!$C:$C,"&gt;=21",After!$C:$C,"&lt;=22", After!$Q:$Q,B36)</f>
        <v>0</v>
      </c>
      <c r="F36" s="82">
        <f>COUNTIFS(Before!$Q:$Q,$B36, Before!$G:$G, "K") + COUNTIFS(Before!$Q:$Q,$B36, Before!$G:$G, "A") + COUNTIFS(Before!$Q:$Q,$B36, Before!$G:$G, "B") + COUNTIFS(Before!$Q:$Q,$B36, Before!$G:$G, "C")
+ COUNTIFS(After!$Q:$Q,$B36, After!$G:$G, "K") + COUNTIFS(After!$Q:$Q,$B36, After!$G:$G, "A") + COUNTIFS(After!$Q:$Q,$B36, After!$G:$G, "B") + COUNTIFS(After!$Q:$Q,$B36, After!$G:$G, "C")</f>
        <v>0</v>
      </c>
      <c r="G36" s="85" t="str">
        <f>VLOOKUP($B36, 'Evaluation Set-up'!$K$11:$R$35, 4, FALSE)</f>
        <v/>
      </c>
      <c r="H36" s="86" t="str">
        <f>VLOOKUP($B36, 'Evaluation Set-up'!$K$11:$R$35, 7, FALSE)</f>
        <v/>
      </c>
      <c r="J36" s="49">
        <v>2033</v>
      </c>
      <c r="K36" s="65">
        <f t="shared" si="0"/>
        <v>0</v>
      </c>
      <c r="L36" s="1" t="str">
        <f>IF(OR(DATE($J36, L$12, 1) &lt; 'Evaluation Set-up'!$D$9, DATE($J36, L$12, 1) &gt;= 'Evaluation Set-up'!$E$9), "", "Before")</f>
        <v/>
      </c>
      <c r="M36" s="1" t="str">
        <f>IF(OR(DATE($J36, M$12, 1) &lt; 'Evaluation Set-up'!$D$9, DATE($J36, M$12, 1) &gt;= 'Evaluation Set-up'!$E$9), "", "Before")</f>
        <v/>
      </c>
      <c r="N36" s="1" t="str">
        <f>IF(OR(DATE($J36, N$12, 1) &lt; 'Evaluation Set-up'!$D$9, DATE($J36, N$12, 1) &gt;= 'Evaluation Set-up'!$E$9), "", "Before")</f>
        <v/>
      </c>
      <c r="O36" s="1" t="str">
        <f>IF(OR(DATE($J36, O$12, 1) &lt; 'Evaluation Set-up'!$D$9, DATE($J36, O$12, 1) &gt;= 'Evaluation Set-up'!$E$9), "", "Before")</f>
        <v/>
      </c>
      <c r="P36" s="1" t="str">
        <f>IF(OR(DATE($J36, P$12, 1) &lt; 'Evaluation Set-up'!$D$9, DATE($J36, P$12, 1) &gt;= 'Evaluation Set-up'!$E$9), "", "Before")</f>
        <v/>
      </c>
      <c r="Q36" s="1" t="str">
        <f>IF(OR(DATE($J36, Q$12, 1) &lt; 'Evaluation Set-up'!$D$9, DATE($J36, Q$12, 1) &gt;= 'Evaluation Set-up'!$E$9), "", "Before")</f>
        <v/>
      </c>
      <c r="R36" s="1" t="str">
        <f>IF(OR(DATE($J36, R$12, 1) &lt; 'Evaluation Set-up'!$D$9, DATE($J36, R$12, 1) &gt;= 'Evaluation Set-up'!$E$9), "", "Before")</f>
        <v/>
      </c>
      <c r="S36" s="1" t="str">
        <f>IF(OR(DATE($J36, S$12, 1) &lt; 'Evaluation Set-up'!$D$9, DATE($J36, S$12, 1) &gt;= 'Evaluation Set-up'!$E$9), "", "Before")</f>
        <v/>
      </c>
      <c r="T36" s="1" t="str">
        <f>IF(OR(DATE($J36, T$12, 1) &lt; 'Evaluation Set-up'!$D$9, DATE($J36, T$12, 1) &gt;= 'Evaluation Set-up'!$E$9), "", "Before")</f>
        <v/>
      </c>
      <c r="U36" s="1" t="str">
        <f>IF(OR(DATE($J36, U$12, 1) &lt; 'Evaluation Set-up'!$D$9, DATE($J36, U$12, 1) &gt;= 'Evaluation Set-up'!$E$9), "", "Before")</f>
        <v/>
      </c>
      <c r="V36" s="1" t="str">
        <f>IF(OR(DATE($J36, V$12, 1) &lt; 'Evaluation Set-up'!$D$9, DATE($J36, V$12, 1) &gt;= 'Evaluation Set-up'!$E$9), "", "Before")</f>
        <v/>
      </c>
      <c r="W36" s="70" t="str">
        <f>IF(OR(DATE($J36, W$12, 1) &lt; 'Evaluation Set-up'!$D$9, DATE($J36, W$12, 1) &gt;= 'Evaluation Set-up'!$E$9), "", "Before")</f>
        <v/>
      </c>
      <c r="X36" s="1"/>
      <c r="Y36" s="49">
        <v>2033</v>
      </c>
      <c r="Z36" s="65">
        <f t="shared" si="1"/>
        <v>0</v>
      </c>
      <c r="AA36" s="1" t="str">
        <f>IF(OR(DATE($Y36, L$12, 1) &lt; 'Evaluation Set-up'!$D$11, DATE($Y36, L$12, 1) &gt;= 'Evaluation Set-up'!$E$11), "", "After")</f>
        <v/>
      </c>
      <c r="AB36" s="1" t="str">
        <f>IF(OR(DATE($Y36, M$12, 1) &lt; 'Evaluation Set-up'!$D$11, DATE($Y36, M$12, 1) &gt;= 'Evaluation Set-up'!$E$11), "", "After")</f>
        <v/>
      </c>
      <c r="AC36" s="1" t="str">
        <f>IF(OR(DATE($Y36, N$12, 1) &lt; 'Evaluation Set-up'!$D$11, DATE($Y36, N$12, 1) &gt;= 'Evaluation Set-up'!$E$11), "", "After")</f>
        <v/>
      </c>
      <c r="AD36" s="1" t="str">
        <f>IF(OR(DATE($Y36, O$12, 1) &lt; 'Evaluation Set-up'!$D$11, DATE($Y36, O$12, 1) &gt;= 'Evaluation Set-up'!$E$11), "", "After")</f>
        <v/>
      </c>
      <c r="AE36" s="1" t="str">
        <f>IF(OR(DATE($Y36, P$12, 1) &lt; 'Evaluation Set-up'!$D$11, DATE($Y36, P$12, 1) &gt;= 'Evaluation Set-up'!$E$11), "", "After")</f>
        <v/>
      </c>
      <c r="AF36" s="1" t="str">
        <f>IF(OR(DATE($Y36, Q$12, 1) &lt; 'Evaluation Set-up'!$D$11, DATE($Y36, Q$12, 1) &gt;= 'Evaluation Set-up'!$E$11), "", "After")</f>
        <v/>
      </c>
      <c r="AG36" s="1" t="str">
        <f>IF(OR(DATE($Y36, R$12, 1) &lt; 'Evaluation Set-up'!$D$11, DATE($Y36, R$12, 1) &gt;= 'Evaluation Set-up'!$E$11), "", "After")</f>
        <v/>
      </c>
      <c r="AH36" s="1" t="str">
        <f>IF(OR(DATE($Y36, S$12, 1) &lt; 'Evaluation Set-up'!$D$11, DATE($Y36, S$12, 1) &gt;= 'Evaluation Set-up'!$E$11), "", "After")</f>
        <v/>
      </c>
      <c r="AI36" s="1" t="str">
        <f>IF(OR(DATE($Y36, T$12, 1) &lt; 'Evaluation Set-up'!$D$11, DATE($Y36, T$12, 1) &gt;= 'Evaluation Set-up'!$E$11), "", "After")</f>
        <v/>
      </c>
      <c r="AJ36" s="1" t="str">
        <f>IF(OR(DATE($Y36, U$12, 1) &lt; 'Evaluation Set-up'!$D$11, DATE($Y36, U$12, 1) &gt;= 'Evaluation Set-up'!$E$11), "", "After")</f>
        <v/>
      </c>
      <c r="AK36" s="1" t="str">
        <f>IF(OR(DATE($Y36, V$12, 1) &lt; 'Evaluation Set-up'!$D$11, DATE($Y36, V$12, 1) &gt;= 'Evaluation Set-up'!$E$11), "", "After")</f>
        <v/>
      </c>
      <c r="AL36" s="70" t="str">
        <f>IF(OR(DATE($Y36, W$12, 1) &lt; 'Evaluation Set-up'!$D$11, DATE($Y36, W$12, 1) &gt;= 'Evaluation Set-up'!$E$11), "", "After")</f>
        <v/>
      </c>
    </row>
    <row r="37" spans="2:44" ht="14.7" thickBot="1">
      <c r="B37" s="59">
        <v>2034</v>
      </c>
      <c r="C37" s="53">
        <f>COUNTIF(Before!$Q:$Q,B37) + COUNTIF(After!$Q:$Q,B37)</f>
        <v>0</v>
      </c>
      <c r="D37" s="54">
        <f>COUNTIFS(Before!$C:$C,"&gt;=23",Before!$C:$C,"&lt;=27", Before!$Q:$Q,B37)+COUNTIFS(Before!$C:$C,"30", Before!$Q:$Q,B37) + COUNTIFS(After!$C:$C,"&gt;=23",After!$C:$C,"&lt;=27", After!$Q:$Q,B37)+COUNTIFS(After!$C:$C,"30", After!$Q:$Q,B37)</f>
        <v>0</v>
      </c>
      <c r="E37" s="54">
        <f>COUNTIFS(Before!$C:$C,"&gt;=21",Before!$C:$C,"&lt;=22", Before!$Q:$Q,B37) + COUNTIFS(After!$C:$C,"&gt;=21",After!$C:$C,"&lt;=22", After!$Q:$Q,B37)</f>
        <v>0</v>
      </c>
      <c r="F37" s="55">
        <f>COUNTIFS(Before!$Q:$Q,$B37, Before!$G:$G, "K") + COUNTIFS(Before!$Q:$Q,$B37, Before!$G:$G, "A") + COUNTIFS(Before!$Q:$Q,$B37, Before!$G:$G, "B") + COUNTIFS(Before!$Q:$Q,$B37, Before!$G:$G, "C")
+ COUNTIFS(After!$Q:$Q,$B37, After!$G:$G, "K") + COUNTIFS(After!$Q:$Q,$B37, After!$G:$G, "A") + COUNTIFS(After!$Q:$Q,$B37, After!$G:$G, "B") + COUNTIFS(After!$Q:$Q,$B37, After!$G:$G, "C")</f>
        <v>0</v>
      </c>
      <c r="G37" s="87" t="str">
        <f>VLOOKUP($B37, 'Evaluation Set-up'!$K$11:$R$35, 4, FALSE)</f>
        <v/>
      </c>
      <c r="H37" s="88" t="str">
        <f>VLOOKUP($B37, 'Evaluation Set-up'!$K$11:$R$35, 7, FALSE)</f>
        <v/>
      </c>
      <c r="J37" s="66">
        <v>2034</v>
      </c>
      <c r="K37" s="67">
        <f t="shared" si="0"/>
        <v>0</v>
      </c>
      <c r="L37" s="10" t="str">
        <f>IF(OR(DATE($J37, L$12, 1) &lt; 'Evaluation Set-up'!$D$9, DATE($J37, L$12, 1) &gt;= 'Evaluation Set-up'!$E$9), "", "Before")</f>
        <v/>
      </c>
      <c r="M37" s="10" t="str">
        <f>IF(OR(DATE($J37, M$12, 1) &lt; 'Evaluation Set-up'!$D$9, DATE($J37, M$12, 1) &gt;= 'Evaluation Set-up'!$E$9), "", "Before")</f>
        <v/>
      </c>
      <c r="N37" s="10" t="str">
        <f>IF(OR(DATE($J37, N$12, 1) &lt; 'Evaluation Set-up'!$D$9, DATE($J37, N$12, 1) &gt;= 'Evaluation Set-up'!$E$9), "", "Before")</f>
        <v/>
      </c>
      <c r="O37" s="10" t="str">
        <f>IF(OR(DATE($J37, O$12, 1) &lt; 'Evaluation Set-up'!$D$9, DATE($J37, O$12, 1) &gt;= 'Evaluation Set-up'!$E$9), "", "Before")</f>
        <v/>
      </c>
      <c r="P37" s="10" t="str">
        <f>IF(OR(DATE($J37, P$12, 1) &lt; 'Evaluation Set-up'!$D$9, DATE($J37, P$12, 1) &gt;= 'Evaluation Set-up'!$E$9), "", "Before")</f>
        <v/>
      </c>
      <c r="Q37" s="10" t="str">
        <f>IF(OR(DATE($J37, Q$12, 1) &lt; 'Evaluation Set-up'!$D$9, DATE($J37, Q$12, 1) &gt;= 'Evaluation Set-up'!$E$9), "", "Before")</f>
        <v/>
      </c>
      <c r="R37" s="10" t="str">
        <f>IF(OR(DATE($J37, R$12, 1) &lt; 'Evaluation Set-up'!$D$9, DATE($J37, R$12, 1) &gt;= 'Evaluation Set-up'!$E$9), "", "Before")</f>
        <v/>
      </c>
      <c r="S37" s="10" t="str">
        <f>IF(OR(DATE($J37, S$12, 1) &lt; 'Evaluation Set-up'!$D$9, DATE($J37, S$12, 1) &gt;= 'Evaluation Set-up'!$E$9), "", "Before")</f>
        <v/>
      </c>
      <c r="T37" s="10" t="str">
        <f>IF(OR(DATE($J37, T$12, 1) &lt; 'Evaluation Set-up'!$D$9, DATE($J37, T$12, 1) &gt;= 'Evaluation Set-up'!$E$9), "", "Before")</f>
        <v/>
      </c>
      <c r="U37" s="10" t="str">
        <f>IF(OR(DATE($J37, U$12, 1) &lt; 'Evaluation Set-up'!$D$9, DATE($J37, U$12, 1) &gt;= 'Evaluation Set-up'!$E$9), "", "Before")</f>
        <v/>
      </c>
      <c r="V37" s="10" t="str">
        <f>IF(OR(DATE($J37, V$12, 1) &lt; 'Evaluation Set-up'!$D$9, DATE($J37, V$12, 1) &gt;= 'Evaluation Set-up'!$E$9), "", "Before")</f>
        <v/>
      </c>
      <c r="W37" s="71" t="str">
        <f>IF(OR(DATE($J37, W$12, 1) &lt; 'Evaluation Set-up'!$D$9, DATE($J37, W$12, 1) &gt;= 'Evaluation Set-up'!$E$9), "", "Before")</f>
        <v/>
      </c>
      <c r="X37" s="1"/>
      <c r="Y37" s="66">
        <v>2034</v>
      </c>
      <c r="Z37" s="67">
        <f t="shared" si="1"/>
        <v>0</v>
      </c>
      <c r="AA37" s="10" t="str">
        <f>IF(OR(DATE($Y37, L$12, 1) &lt; 'Evaluation Set-up'!$D$11, DATE($Y37, L$12, 1) &gt;= 'Evaluation Set-up'!$E$11), "", "After")</f>
        <v/>
      </c>
      <c r="AB37" s="10" t="str">
        <f>IF(OR(DATE($Y37, M$12, 1) &lt; 'Evaluation Set-up'!$D$11, DATE($Y37, M$12, 1) &gt;= 'Evaluation Set-up'!$E$11), "", "After")</f>
        <v/>
      </c>
      <c r="AC37" s="10" t="str">
        <f>IF(OR(DATE($Y37, N$12, 1) &lt; 'Evaluation Set-up'!$D$11, DATE($Y37, N$12, 1) &gt;= 'Evaluation Set-up'!$E$11), "", "After")</f>
        <v/>
      </c>
      <c r="AD37" s="10" t="str">
        <f>IF(OR(DATE($Y37, O$12, 1) &lt; 'Evaluation Set-up'!$D$11, DATE($Y37, O$12, 1) &gt;= 'Evaluation Set-up'!$E$11), "", "After")</f>
        <v/>
      </c>
      <c r="AE37" s="10" t="str">
        <f>IF(OR(DATE($Y37, P$12, 1) &lt; 'Evaluation Set-up'!$D$11, DATE($Y37, P$12, 1) &gt;= 'Evaluation Set-up'!$E$11), "", "After")</f>
        <v/>
      </c>
      <c r="AF37" s="10" t="str">
        <f>IF(OR(DATE($Y37, Q$12, 1) &lt; 'Evaluation Set-up'!$D$11, DATE($Y37, Q$12, 1) &gt;= 'Evaluation Set-up'!$E$11), "", "After")</f>
        <v/>
      </c>
      <c r="AG37" s="10" t="str">
        <f>IF(OR(DATE($Y37, R$12, 1) &lt; 'Evaluation Set-up'!$D$11, DATE($Y37, R$12, 1) &gt;= 'Evaluation Set-up'!$E$11), "", "After")</f>
        <v/>
      </c>
      <c r="AH37" s="10" t="str">
        <f>IF(OR(DATE($Y37, S$12, 1) &lt; 'Evaluation Set-up'!$D$11, DATE($Y37, S$12, 1) &gt;= 'Evaluation Set-up'!$E$11), "", "After")</f>
        <v/>
      </c>
      <c r="AI37" s="10" t="str">
        <f>IF(OR(DATE($Y37, T$12, 1) &lt; 'Evaluation Set-up'!$D$11, DATE($Y37, T$12, 1) &gt;= 'Evaluation Set-up'!$E$11), "", "After")</f>
        <v/>
      </c>
      <c r="AJ37" s="10" t="str">
        <f>IF(OR(DATE($Y37, U$12, 1) &lt; 'Evaluation Set-up'!$D$11, DATE($Y37, U$12, 1) &gt;= 'Evaluation Set-up'!$E$11), "", "After")</f>
        <v/>
      </c>
      <c r="AK37" s="10" t="str">
        <f>IF(OR(DATE($Y37, V$12, 1) &lt; 'Evaluation Set-up'!$D$11, DATE($Y37, V$12, 1) &gt;= 'Evaluation Set-up'!$E$11), "", "After")</f>
        <v/>
      </c>
      <c r="AL37" s="71" t="str">
        <f>IF(OR(DATE($Y37, W$12, 1) &lt; 'Evaluation Set-up'!$D$11, DATE($Y37, W$12, 1) &gt;= 'Evaluation Set-up'!$E$11), "", "After")</f>
        <v/>
      </c>
    </row>
    <row r="38" spans="2:44">
      <c r="K38" s="1"/>
    </row>
    <row r="39" spans="2:44">
      <c r="G39" s="5" t="s">
        <v>187</v>
      </c>
      <c r="H39" s="103" t="s">
        <v>446</v>
      </c>
      <c r="K39" s="1"/>
    </row>
    <row r="40" spans="2:44">
      <c r="G40" t="s">
        <v>447</v>
      </c>
      <c r="H40" s="1">
        <v>1</v>
      </c>
    </row>
    <row r="41" spans="2:44" s="47" customFormat="1">
      <c r="G41" t="s">
        <v>448</v>
      </c>
      <c r="H41" s="1">
        <v>1</v>
      </c>
      <c r="I41" s="46"/>
    </row>
    <row r="42" spans="2:44">
      <c r="G42" t="s">
        <v>449</v>
      </c>
      <c r="H42" s="1">
        <v>1</v>
      </c>
    </row>
    <row r="43" spans="2:44">
      <c r="B43" s="89" t="s">
        <v>237</v>
      </c>
      <c r="C43" s="47"/>
      <c r="D43" s="90" t="s">
        <v>238</v>
      </c>
      <c r="G43" t="s">
        <v>450</v>
      </c>
      <c r="H43" s="1">
        <v>1</v>
      </c>
    </row>
    <row r="44" spans="2:44">
      <c r="B44" s="1" t="s">
        <v>220</v>
      </c>
      <c r="D44" t="s">
        <v>208</v>
      </c>
      <c r="G44" t="s">
        <v>451</v>
      </c>
      <c r="H44" s="1">
        <v>1</v>
      </c>
    </row>
    <row r="45" spans="2:44">
      <c r="B45" s="1" t="s">
        <v>221</v>
      </c>
      <c r="D45" t="s">
        <v>76</v>
      </c>
      <c r="G45" t="s">
        <v>452</v>
      </c>
      <c r="H45" s="1">
        <v>1</v>
      </c>
    </row>
    <row r="46" spans="2:44" s="47" customFormat="1">
      <c r="B46" s="1" t="s">
        <v>222</v>
      </c>
      <c r="C46"/>
      <c r="D46" t="s">
        <v>80</v>
      </c>
      <c r="G46" t="s">
        <v>453</v>
      </c>
      <c r="H46" s="1">
        <v>1</v>
      </c>
      <c r="I46" s="46"/>
    </row>
    <row r="47" spans="2:44">
      <c r="B47" s="1" t="s">
        <v>223</v>
      </c>
      <c r="D47" t="s">
        <v>209</v>
      </c>
      <c r="G47" t="s">
        <v>454</v>
      </c>
      <c r="H47" s="1">
        <v>1</v>
      </c>
      <c r="Y47" s="1"/>
      <c r="Z47" s="1"/>
      <c r="AA47" s="1"/>
      <c r="AB47" s="1"/>
      <c r="AC47" s="1"/>
      <c r="AD47" s="1"/>
      <c r="AE47" s="1"/>
      <c r="AF47" s="1"/>
      <c r="AG47" s="1"/>
      <c r="AH47" s="1"/>
      <c r="AI47" s="1"/>
      <c r="AJ47" s="1"/>
      <c r="AK47" s="1"/>
      <c r="AL47" s="1"/>
      <c r="AM47" s="1"/>
      <c r="AN47" s="1"/>
      <c r="AO47" s="1"/>
      <c r="AP47" s="1"/>
      <c r="AQ47" s="1"/>
      <c r="AR47" s="1"/>
    </row>
    <row r="48" spans="2:44">
      <c r="B48" s="1" t="s">
        <v>224</v>
      </c>
      <c r="D48" t="s">
        <v>210</v>
      </c>
      <c r="G48" t="s">
        <v>455</v>
      </c>
      <c r="H48" s="1">
        <v>1</v>
      </c>
      <c r="Y48" s="46"/>
      <c r="Z48" s="46"/>
      <c r="AA48" s="46"/>
      <c r="AB48" s="46"/>
      <c r="AC48" s="46"/>
      <c r="AD48" s="46"/>
      <c r="AE48" s="46"/>
      <c r="AF48" s="46"/>
      <c r="AG48" s="46"/>
      <c r="AH48" s="46"/>
      <c r="AI48" s="46"/>
      <c r="AJ48" s="46"/>
      <c r="AK48" s="46"/>
      <c r="AL48" s="46"/>
      <c r="AM48" s="46"/>
      <c r="AN48" s="46"/>
      <c r="AO48" s="46"/>
      <c r="AP48" s="46"/>
      <c r="AQ48" s="46"/>
      <c r="AR48" s="46"/>
    </row>
    <row r="49" spans="1:44">
      <c r="B49" s="1" t="s">
        <v>225</v>
      </c>
      <c r="D49" t="s">
        <v>211</v>
      </c>
      <c r="G49" t="s">
        <v>456</v>
      </c>
      <c r="H49" s="1">
        <v>1</v>
      </c>
      <c r="Y49" s="1"/>
      <c r="Z49" s="1"/>
      <c r="AA49" s="1"/>
      <c r="AB49" s="1"/>
      <c r="AC49" s="1"/>
      <c r="AD49" s="1"/>
      <c r="AE49" s="1"/>
      <c r="AF49" s="1"/>
      <c r="AG49" s="1"/>
      <c r="AH49" s="1"/>
      <c r="AI49" s="1"/>
      <c r="AJ49" s="1"/>
      <c r="AK49" s="1"/>
      <c r="AL49" s="1"/>
      <c r="AM49" s="1"/>
      <c r="AN49" s="1"/>
      <c r="AO49" s="1"/>
      <c r="AP49" s="1"/>
      <c r="AQ49" s="1"/>
      <c r="AR49" s="1"/>
    </row>
    <row r="50" spans="1:44">
      <c r="B50" s="1" t="s">
        <v>226</v>
      </c>
      <c r="D50" t="s">
        <v>212</v>
      </c>
      <c r="G50" t="s">
        <v>457</v>
      </c>
      <c r="H50" s="1">
        <v>1</v>
      </c>
      <c r="Y50" s="1"/>
      <c r="Z50" s="1"/>
      <c r="AA50" s="1"/>
      <c r="AB50" s="1"/>
      <c r="AC50" s="1"/>
      <c r="AD50" s="1"/>
      <c r="AE50" s="1"/>
      <c r="AF50" s="1"/>
      <c r="AG50" s="1"/>
      <c r="AH50" s="1"/>
      <c r="AI50" s="1"/>
      <c r="AJ50" s="1"/>
      <c r="AK50" s="1"/>
      <c r="AL50" s="1"/>
      <c r="AM50" s="1"/>
      <c r="AN50" s="1"/>
      <c r="AO50" s="1"/>
      <c r="AP50" s="1"/>
      <c r="AQ50" s="1"/>
      <c r="AR50" s="1"/>
    </row>
    <row r="51" spans="1:44">
      <c r="B51" s="1" t="s">
        <v>227</v>
      </c>
      <c r="D51" t="s">
        <v>213</v>
      </c>
      <c r="G51" t="s">
        <v>458</v>
      </c>
      <c r="H51" s="1">
        <v>1</v>
      </c>
      <c r="Y51" s="1"/>
      <c r="Z51" s="1"/>
      <c r="AA51" s="1"/>
      <c r="AB51" s="1"/>
      <c r="AC51" s="1"/>
      <c r="AD51" s="1"/>
      <c r="AE51" s="1"/>
      <c r="AF51" s="1"/>
      <c r="AG51" s="1"/>
      <c r="AH51" s="1"/>
      <c r="AI51" s="1"/>
      <c r="AJ51" s="1"/>
      <c r="AK51" s="1"/>
      <c r="AL51" s="1"/>
      <c r="AM51" s="1"/>
      <c r="AN51" s="1"/>
      <c r="AO51" s="1"/>
      <c r="AP51" s="1"/>
      <c r="AQ51" s="1"/>
      <c r="AR51" s="1"/>
    </row>
    <row r="52" spans="1:44">
      <c r="B52" s="1" t="s">
        <v>228</v>
      </c>
      <c r="D52" t="s">
        <v>214</v>
      </c>
      <c r="G52" t="s">
        <v>459</v>
      </c>
      <c r="H52" s="1">
        <v>1</v>
      </c>
      <c r="Y52" s="1"/>
      <c r="Z52" s="1"/>
      <c r="AA52" s="1"/>
      <c r="AB52" s="1"/>
      <c r="AC52" s="1"/>
      <c r="AD52" s="1"/>
      <c r="AE52" s="1"/>
      <c r="AF52" s="1"/>
      <c r="AG52" s="1"/>
      <c r="AH52" s="1"/>
      <c r="AI52" s="1"/>
      <c r="AJ52" s="1"/>
      <c r="AK52" s="1"/>
      <c r="AL52" s="1"/>
      <c r="AM52" s="1"/>
      <c r="AN52" s="1"/>
      <c r="AO52" s="1"/>
      <c r="AP52" s="1"/>
      <c r="AQ52" s="1"/>
      <c r="AR52" s="1"/>
    </row>
    <row r="53" spans="1:44">
      <c r="B53" s="1" t="s">
        <v>229</v>
      </c>
      <c r="D53" t="s">
        <v>215</v>
      </c>
      <c r="G53" t="s">
        <v>460</v>
      </c>
      <c r="H53" s="1">
        <v>1</v>
      </c>
      <c r="Y53" s="1"/>
      <c r="Z53" s="1"/>
      <c r="AA53" s="1"/>
      <c r="AB53" s="1"/>
      <c r="AC53" s="1"/>
      <c r="AD53" s="1"/>
      <c r="AE53" s="1"/>
      <c r="AF53" s="1"/>
      <c r="AG53" s="1"/>
      <c r="AH53" s="1"/>
      <c r="AI53" s="1"/>
      <c r="AJ53" s="1"/>
      <c r="AK53" s="1"/>
      <c r="AL53" s="1"/>
      <c r="AM53" s="1"/>
      <c r="AN53" s="1"/>
      <c r="AO53" s="1"/>
      <c r="AP53" s="1"/>
      <c r="AQ53" s="1"/>
      <c r="AR53" s="1"/>
    </row>
    <row r="54" spans="1:44">
      <c r="D54" t="s">
        <v>89</v>
      </c>
      <c r="G54" t="s">
        <v>461</v>
      </c>
      <c r="H54" s="1">
        <v>2</v>
      </c>
      <c r="Y54" s="1"/>
      <c r="Z54" s="1"/>
      <c r="AA54" s="1"/>
      <c r="AB54" s="1"/>
      <c r="AC54" s="1"/>
      <c r="AD54" s="1"/>
      <c r="AE54" s="1"/>
      <c r="AF54" s="1"/>
      <c r="AG54" s="1"/>
      <c r="AH54" s="1"/>
      <c r="AI54" s="1"/>
      <c r="AJ54" s="1"/>
      <c r="AK54" s="1"/>
      <c r="AL54" s="1"/>
      <c r="AM54" s="1"/>
      <c r="AN54" s="1"/>
      <c r="AO54" s="1"/>
      <c r="AP54" s="1"/>
      <c r="AQ54" s="1"/>
      <c r="AR54" s="1"/>
    </row>
    <row r="55" spans="1:44">
      <c r="D55" t="s">
        <v>216</v>
      </c>
      <c r="G55" t="s">
        <v>462</v>
      </c>
      <c r="H55" s="1">
        <v>2</v>
      </c>
      <c r="Y55" s="1"/>
      <c r="Z55" s="1"/>
      <c r="AA55" s="1"/>
      <c r="AB55" s="1"/>
      <c r="AC55" s="1"/>
      <c r="AD55" s="1"/>
      <c r="AE55" s="1"/>
      <c r="AF55" s="1"/>
      <c r="AG55" s="1"/>
      <c r="AH55" s="1"/>
      <c r="AI55" s="1"/>
      <c r="AJ55" s="1"/>
      <c r="AK55" s="1"/>
      <c r="AL55" s="1"/>
      <c r="AM55" s="1"/>
      <c r="AN55" s="1"/>
      <c r="AO55" s="1"/>
      <c r="AP55" s="1"/>
      <c r="AQ55" s="1"/>
      <c r="AR55" s="1"/>
    </row>
    <row r="56" spans="1:44">
      <c r="D56" t="s">
        <v>217</v>
      </c>
      <c r="G56" t="s">
        <v>463</v>
      </c>
      <c r="H56" s="1">
        <v>2</v>
      </c>
      <c r="Y56" s="1"/>
      <c r="Z56" s="1"/>
      <c r="AA56" s="1"/>
      <c r="AB56" s="1"/>
      <c r="AC56" s="1"/>
      <c r="AD56" s="1"/>
      <c r="AE56" s="1"/>
      <c r="AF56" s="1"/>
      <c r="AG56" s="1"/>
      <c r="AH56" s="1"/>
      <c r="AI56" s="1"/>
      <c r="AJ56" s="1"/>
      <c r="AK56" s="1"/>
      <c r="AL56" s="1"/>
      <c r="AM56" s="1"/>
      <c r="AN56" s="1"/>
      <c r="AO56" s="1"/>
      <c r="AP56" s="1"/>
      <c r="AQ56" s="1"/>
      <c r="AR56" s="1"/>
    </row>
    <row r="57" spans="1:44">
      <c r="D57" t="s">
        <v>218</v>
      </c>
      <c r="G57" t="s">
        <v>464</v>
      </c>
      <c r="H57" s="1">
        <v>2</v>
      </c>
      <c r="Y57" s="1"/>
      <c r="Z57" s="1"/>
      <c r="AA57" s="1"/>
      <c r="AB57" s="1"/>
      <c r="AC57" s="1"/>
      <c r="AD57" s="1"/>
      <c r="AE57" s="1"/>
      <c r="AF57" s="1"/>
      <c r="AG57" s="1"/>
      <c r="AH57" s="1"/>
      <c r="AI57" s="1"/>
      <c r="AJ57" s="1"/>
      <c r="AK57" s="1"/>
      <c r="AL57" s="1"/>
      <c r="AM57" s="1"/>
      <c r="AN57" s="1"/>
      <c r="AO57" s="1"/>
      <c r="AP57" s="1"/>
      <c r="AQ57" s="1"/>
      <c r="AR57" s="1"/>
    </row>
    <row r="58" spans="1:44">
      <c r="D58" s="47" t="s">
        <v>174</v>
      </c>
      <c r="G58" t="s">
        <v>465</v>
      </c>
      <c r="H58" s="1">
        <v>2</v>
      </c>
      <c r="Y58" s="1"/>
      <c r="Z58" s="1"/>
      <c r="AA58" s="1"/>
      <c r="AB58" s="1"/>
      <c r="AC58" s="1"/>
      <c r="AD58" s="1"/>
      <c r="AE58" s="1"/>
      <c r="AF58" s="1"/>
      <c r="AG58" s="1"/>
      <c r="AH58" s="1"/>
      <c r="AI58" s="1"/>
      <c r="AJ58" s="1"/>
      <c r="AK58" s="1"/>
      <c r="AL58" s="1"/>
      <c r="AM58" s="1"/>
      <c r="AN58" s="1"/>
      <c r="AO58" s="1"/>
      <c r="AP58" s="1"/>
      <c r="AQ58" s="1"/>
      <c r="AR58" s="1"/>
    </row>
    <row r="59" spans="1:44">
      <c r="A59" s="47"/>
      <c r="B59" s="47"/>
      <c r="C59" s="47"/>
      <c r="D59" t="s">
        <v>100</v>
      </c>
      <c r="G59" t="s">
        <v>466</v>
      </c>
      <c r="H59" s="1">
        <v>2</v>
      </c>
      <c r="Y59" s="1"/>
      <c r="Z59" s="1"/>
      <c r="AA59" s="1"/>
      <c r="AB59" s="1"/>
      <c r="AC59" s="1"/>
      <c r="AD59" s="1"/>
      <c r="AE59" s="1"/>
      <c r="AF59" s="1"/>
      <c r="AG59" s="1"/>
      <c r="AH59" s="1"/>
      <c r="AI59" s="1"/>
      <c r="AJ59" s="1"/>
      <c r="AK59" s="1"/>
      <c r="AL59" s="1"/>
      <c r="AM59" s="1"/>
      <c r="AN59" s="1"/>
      <c r="AO59" s="1"/>
      <c r="AP59" s="1"/>
      <c r="AQ59" s="1"/>
      <c r="AR59" s="1"/>
    </row>
    <row r="60" spans="1:44">
      <c r="D60" t="s">
        <v>219</v>
      </c>
      <c r="G60" t="s">
        <v>467</v>
      </c>
      <c r="H60" s="1">
        <v>2</v>
      </c>
      <c r="Y60" s="1"/>
      <c r="Z60" s="1"/>
      <c r="AA60" s="1"/>
      <c r="AB60" s="1"/>
      <c r="AC60" s="1"/>
      <c r="AD60" s="1"/>
      <c r="AE60" s="1"/>
      <c r="AF60" s="1"/>
      <c r="AG60" s="1"/>
      <c r="AH60" s="1"/>
      <c r="AI60" s="1"/>
      <c r="AJ60" s="1"/>
      <c r="AK60" s="1"/>
      <c r="AL60" s="1"/>
      <c r="AM60" s="1"/>
      <c r="AN60" s="1"/>
      <c r="AO60" s="1"/>
      <c r="AP60" s="1"/>
      <c r="AQ60" s="1"/>
      <c r="AR60" s="1"/>
    </row>
    <row r="61" spans="1:44">
      <c r="G61" t="s">
        <v>468</v>
      </c>
      <c r="H61" s="1">
        <v>2</v>
      </c>
      <c r="Y61" s="1"/>
      <c r="Z61" s="1"/>
      <c r="AA61" s="1"/>
      <c r="AB61" s="1"/>
      <c r="AC61" s="1"/>
      <c r="AD61" s="1"/>
      <c r="AE61" s="1"/>
      <c r="AF61" s="1"/>
      <c r="AG61" s="1"/>
      <c r="AH61" s="1"/>
      <c r="AI61" s="1"/>
      <c r="AJ61" s="1"/>
      <c r="AK61" s="1"/>
      <c r="AL61" s="1"/>
      <c r="AM61" s="1"/>
      <c r="AN61" s="1"/>
      <c r="AO61" s="1"/>
      <c r="AP61" s="1"/>
      <c r="AQ61" s="1"/>
      <c r="AR61" s="1"/>
    </row>
    <row r="62" spans="1:44">
      <c r="G62" t="s">
        <v>469</v>
      </c>
      <c r="H62" s="1">
        <v>3</v>
      </c>
    </row>
    <row r="63" spans="1:44">
      <c r="G63" t="s">
        <v>470</v>
      </c>
      <c r="H63" s="1">
        <v>3</v>
      </c>
    </row>
    <row r="64" spans="1:44">
      <c r="G64" t="s">
        <v>471</v>
      </c>
      <c r="H64" s="1">
        <v>3</v>
      </c>
      <c r="Y64" s="1"/>
      <c r="Z64" s="1"/>
      <c r="AA64" s="1"/>
      <c r="AB64" s="1"/>
      <c r="AC64" s="1"/>
      <c r="AD64" s="1"/>
      <c r="AE64" s="1"/>
      <c r="AF64" s="1"/>
      <c r="AG64" s="1"/>
      <c r="AH64" s="1"/>
      <c r="AI64" s="1"/>
      <c r="AJ64" s="1"/>
      <c r="AK64" s="1"/>
      <c r="AL64" s="1"/>
      <c r="AM64" s="1"/>
      <c r="AN64" s="1"/>
      <c r="AO64" s="1"/>
      <c r="AP64" s="1"/>
      <c r="AQ64" s="1"/>
      <c r="AR64" s="1"/>
    </row>
    <row r="65" spans="7:44">
      <c r="G65" t="s">
        <v>472</v>
      </c>
      <c r="H65" s="1">
        <v>3</v>
      </c>
      <c r="Y65" s="1"/>
      <c r="Z65" s="1"/>
      <c r="AA65" s="1"/>
      <c r="AB65" s="1"/>
      <c r="AC65" s="1"/>
      <c r="AD65" s="1"/>
      <c r="AE65" s="1"/>
      <c r="AF65" s="1"/>
      <c r="AG65" s="1"/>
      <c r="AH65" s="1"/>
      <c r="AI65" s="1"/>
      <c r="AJ65" s="1"/>
      <c r="AK65" s="1"/>
      <c r="AL65" s="1"/>
      <c r="AM65" s="1"/>
      <c r="AN65" s="1"/>
      <c r="AO65" s="1"/>
      <c r="AP65" s="1"/>
      <c r="AQ65" s="1"/>
      <c r="AR65" s="1"/>
    </row>
    <row r="66" spans="7:44">
      <c r="G66" t="s">
        <v>473</v>
      </c>
      <c r="H66" s="1">
        <v>3</v>
      </c>
      <c r="Y66" s="46"/>
      <c r="Z66" s="46"/>
      <c r="AA66" s="46"/>
      <c r="AB66" s="46"/>
      <c r="AC66" s="46"/>
      <c r="AD66" s="46"/>
      <c r="AE66" s="46"/>
      <c r="AF66" s="46"/>
      <c r="AG66" s="46"/>
      <c r="AH66" s="46"/>
      <c r="AI66" s="46"/>
      <c r="AJ66" s="46"/>
      <c r="AK66" s="46"/>
      <c r="AL66" s="46"/>
      <c r="AM66" s="46"/>
      <c r="AN66" s="46"/>
      <c r="AO66" s="46"/>
      <c r="AP66" s="46"/>
      <c r="AQ66" s="46"/>
      <c r="AR66" s="46"/>
    </row>
    <row r="67" spans="7:44">
      <c r="G67" t="s">
        <v>474</v>
      </c>
      <c r="H67" s="1">
        <v>3</v>
      </c>
      <c r="S67" s="1"/>
      <c r="T67" s="1"/>
      <c r="U67" s="1"/>
      <c r="V67" s="1"/>
      <c r="W67" s="1"/>
      <c r="X67" s="1"/>
      <c r="Y67" s="1"/>
      <c r="Z67" s="1"/>
      <c r="AA67" s="1"/>
      <c r="AB67" s="1"/>
      <c r="AC67" s="1"/>
      <c r="AD67" s="1"/>
      <c r="AE67" s="1"/>
      <c r="AF67" s="1"/>
      <c r="AG67" s="1"/>
      <c r="AH67" s="1"/>
      <c r="AI67" s="1"/>
      <c r="AJ67" s="1"/>
      <c r="AK67" s="1"/>
      <c r="AL67" s="1"/>
      <c r="AM67" s="1"/>
      <c r="AN67" s="1"/>
      <c r="AO67" s="1"/>
      <c r="AP67" s="1"/>
      <c r="AQ67" s="1"/>
      <c r="AR67" s="1"/>
    </row>
    <row r="68" spans="7:44">
      <c r="G68" t="s">
        <v>475</v>
      </c>
      <c r="H68" s="1">
        <v>4</v>
      </c>
      <c r="S68" s="1"/>
      <c r="T68" s="1"/>
      <c r="U68" s="1"/>
      <c r="V68" s="1"/>
      <c r="W68" s="1"/>
      <c r="X68" s="1"/>
      <c r="Y68" s="1"/>
      <c r="Z68" s="1"/>
      <c r="AA68" s="1"/>
      <c r="AB68" s="1"/>
      <c r="AC68" s="1"/>
      <c r="AD68" s="1"/>
      <c r="AE68" s="1"/>
      <c r="AF68" s="1"/>
      <c r="AG68" s="1"/>
      <c r="AH68" s="1"/>
      <c r="AI68" s="1"/>
      <c r="AJ68" s="1"/>
      <c r="AK68" s="1"/>
      <c r="AL68" s="1"/>
      <c r="AM68" s="1"/>
      <c r="AN68" s="1"/>
      <c r="AO68" s="1"/>
      <c r="AP68" s="1"/>
      <c r="AQ68" s="1"/>
      <c r="AR68" s="1"/>
    </row>
    <row r="69" spans="7:44">
      <c r="G69" t="s">
        <v>476</v>
      </c>
      <c r="H69" s="1">
        <v>4</v>
      </c>
      <c r="S69" s="1"/>
      <c r="T69" s="1"/>
      <c r="U69" s="1"/>
      <c r="V69" s="1"/>
      <c r="W69" s="1"/>
      <c r="X69" s="1"/>
      <c r="Y69" s="1"/>
      <c r="Z69" s="1"/>
      <c r="AA69" s="1"/>
      <c r="AB69" s="1"/>
      <c r="AC69" s="1"/>
      <c r="AD69" s="1"/>
      <c r="AE69" s="1"/>
      <c r="AF69" s="1"/>
      <c r="AG69" s="1"/>
      <c r="AH69" s="1"/>
      <c r="AI69" s="1"/>
      <c r="AJ69" s="1"/>
      <c r="AK69" s="1"/>
      <c r="AL69" s="1"/>
      <c r="AM69" s="1"/>
      <c r="AN69" s="1"/>
      <c r="AO69" s="1"/>
      <c r="AP69" s="1"/>
      <c r="AQ69" s="1"/>
      <c r="AR69" s="1"/>
    </row>
    <row r="70" spans="7:44">
      <c r="G70" t="s">
        <v>477</v>
      </c>
      <c r="H70" s="1">
        <v>4</v>
      </c>
      <c r="S70" s="1"/>
      <c r="T70" s="1"/>
      <c r="U70" s="1"/>
      <c r="V70" s="1"/>
      <c r="W70" s="1"/>
      <c r="X70" s="1"/>
      <c r="Y70" s="1"/>
      <c r="Z70" s="1"/>
      <c r="AA70" s="1"/>
      <c r="AB70" s="1"/>
      <c r="AC70" s="1"/>
      <c r="AD70" s="1"/>
      <c r="AE70" s="1"/>
      <c r="AF70" s="1"/>
      <c r="AG70" s="1"/>
      <c r="AH70" s="1"/>
      <c r="AI70" s="1"/>
      <c r="AJ70" s="1"/>
      <c r="AK70" s="1"/>
      <c r="AL70" s="1"/>
      <c r="AM70" s="1"/>
      <c r="AN70" s="1"/>
      <c r="AO70" s="1"/>
      <c r="AP70" s="1"/>
      <c r="AQ70" s="1"/>
      <c r="AR70" s="1"/>
    </row>
    <row r="71" spans="7:44">
      <c r="G71" t="s">
        <v>478</v>
      </c>
      <c r="H71" s="1">
        <v>4</v>
      </c>
      <c r="S71" s="1"/>
      <c r="T71" s="1"/>
      <c r="U71" s="1"/>
      <c r="V71" s="1"/>
      <c r="W71" s="1"/>
      <c r="X71" s="1"/>
      <c r="Y71" s="1"/>
      <c r="Z71" s="1"/>
      <c r="AA71" s="1"/>
      <c r="AB71" s="1"/>
      <c r="AC71" s="1"/>
      <c r="AD71" s="1"/>
      <c r="AE71" s="1"/>
      <c r="AF71" s="1"/>
      <c r="AG71" s="1"/>
      <c r="AH71" s="1"/>
      <c r="AI71" s="1"/>
      <c r="AJ71" s="1"/>
      <c r="AK71" s="1"/>
      <c r="AL71" s="1"/>
      <c r="AM71" s="1"/>
      <c r="AN71" s="1"/>
      <c r="AO71" s="1"/>
      <c r="AP71" s="1"/>
      <c r="AQ71" s="1"/>
      <c r="AR71" s="1"/>
    </row>
    <row r="72" spans="7:44">
      <c r="G72" t="s">
        <v>479</v>
      </c>
      <c r="H72" s="1">
        <v>4</v>
      </c>
      <c r="S72" s="1"/>
      <c r="T72" s="1"/>
      <c r="U72" s="1"/>
      <c r="V72" s="1"/>
      <c r="W72" s="1"/>
      <c r="X72" s="1"/>
      <c r="Y72" s="1"/>
      <c r="Z72" s="1"/>
      <c r="AA72" s="1"/>
      <c r="AB72" s="1"/>
      <c r="AC72" s="1"/>
      <c r="AD72" s="1"/>
      <c r="AE72" s="1"/>
      <c r="AF72" s="1"/>
      <c r="AG72" s="1"/>
      <c r="AH72" s="1"/>
      <c r="AI72" s="1"/>
      <c r="AJ72" s="1"/>
      <c r="AK72" s="1"/>
      <c r="AL72" s="1"/>
      <c r="AM72" s="1"/>
      <c r="AN72" s="1"/>
      <c r="AO72" s="1"/>
      <c r="AP72" s="1"/>
      <c r="AQ72" s="1"/>
      <c r="AR72" s="1"/>
    </row>
    <row r="73" spans="7:44">
      <c r="G73" t="s">
        <v>480</v>
      </c>
      <c r="H73" s="1">
        <v>4</v>
      </c>
      <c r="S73" s="1"/>
      <c r="T73" s="1"/>
      <c r="U73" s="1"/>
      <c r="V73" s="1"/>
      <c r="W73" s="1"/>
      <c r="X73" s="1"/>
      <c r="Y73" s="1"/>
      <c r="Z73" s="1"/>
      <c r="AA73" s="1"/>
      <c r="AB73" s="1"/>
      <c r="AC73" s="1"/>
      <c r="AD73" s="1"/>
      <c r="AE73" s="1"/>
      <c r="AF73" s="1"/>
      <c r="AG73" s="1"/>
      <c r="AH73" s="1"/>
      <c r="AI73" s="1"/>
      <c r="AJ73" s="1"/>
      <c r="AK73" s="1"/>
      <c r="AL73" s="1"/>
      <c r="AM73" s="1"/>
      <c r="AN73" s="1"/>
      <c r="AO73" s="1"/>
      <c r="AP73" s="1"/>
      <c r="AQ73" s="1"/>
      <c r="AR73" s="1"/>
    </row>
    <row r="74" spans="7:44">
      <c r="G74" t="s">
        <v>481</v>
      </c>
      <c r="H74" s="1">
        <v>5</v>
      </c>
      <c r="S74" s="1"/>
      <c r="T74" s="1"/>
      <c r="U74" s="1"/>
      <c r="V74" s="1"/>
      <c r="W74" s="1"/>
      <c r="X74" s="1"/>
      <c r="Y74" s="1"/>
      <c r="Z74" s="1"/>
      <c r="AA74" s="1"/>
      <c r="AB74" s="1"/>
      <c r="AC74" s="1"/>
      <c r="AD74" s="1"/>
      <c r="AE74" s="1"/>
      <c r="AF74" s="1"/>
      <c r="AG74" s="1"/>
      <c r="AH74" s="1"/>
      <c r="AI74" s="1"/>
      <c r="AJ74" s="1"/>
      <c r="AK74" s="1"/>
      <c r="AL74" s="1"/>
      <c r="AM74" s="1"/>
      <c r="AN74" s="1"/>
      <c r="AO74" s="1"/>
      <c r="AP74" s="1"/>
      <c r="AQ74" s="1"/>
      <c r="AR74" s="1"/>
    </row>
    <row r="75" spans="7:44">
      <c r="G75" t="s">
        <v>482</v>
      </c>
      <c r="H75" s="1">
        <v>5</v>
      </c>
      <c r="S75" s="1"/>
      <c r="T75" s="1"/>
      <c r="U75" s="1"/>
      <c r="V75" s="1"/>
      <c r="W75" s="1"/>
      <c r="X75" s="1"/>
      <c r="Y75" s="1"/>
      <c r="Z75" s="1"/>
      <c r="AA75" s="1"/>
      <c r="AB75" s="1"/>
      <c r="AC75" s="1"/>
      <c r="AD75" s="1"/>
      <c r="AE75" s="1"/>
      <c r="AF75" s="1"/>
      <c r="AG75" s="1"/>
      <c r="AH75" s="1"/>
      <c r="AI75" s="1"/>
      <c r="AJ75" s="1"/>
      <c r="AK75" s="1"/>
      <c r="AL75" s="1"/>
      <c r="AM75" s="1"/>
      <c r="AN75" s="1"/>
      <c r="AO75" s="1"/>
      <c r="AP75" s="1"/>
      <c r="AQ75" s="1"/>
      <c r="AR75" s="1"/>
    </row>
    <row r="76" spans="7:44">
      <c r="G76" t="s">
        <v>483</v>
      </c>
      <c r="H76" s="1">
        <v>5</v>
      </c>
      <c r="S76" s="1"/>
      <c r="T76" s="1"/>
      <c r="U76" s="1"/>
      <c r="V76" s="1"/>
      <c r="W76" s="1"/>
      <c r="X76" s="1"/>
      <c r="Y76" s="1"/>
      <c r="Z76" s="1"/>
      <c r="AA76" s="1"/>
      <c r="AB76" s="1"/>
      <c r="AC76" s="1"/>
      <c r="AD76" s="1"/>
      <c r="AE76" s="1"/>
      <c r="AF76" s="1"/>
      <c r="AG76" s="1"/>
      <c r="AH76" s="1"/>
      <c r="AI76" s="1"/>
      <c r="AJ76" s="1"/>
      <c r="AK76" s="1"/>
      <c r="AL76" s="1"/>
      <c r="AM76" s="1"/>
      <c r="AN76" s="1"/>
      <c r="AO76" s="1"/>
      <c r="AP76" s="1"/>
      <c r="AQ76" s="1"/>
      <c r="AR76" s="1"/>
    </row>
    <row r="77" spans="7:44">
      <c r="G77" t="s">
        <v>484</v>
      </c>
      <c r="H77" s="1">
        <v>5</v>
      </c>
      <c r="S77" s="1"/>
      <c r="T77" s="1"/>
      <c r="U77" s="1"/>
      <c r="V77" s="1"/>
      <c r="W77" s="1"/>
      <c r="X77" s="1"/>
      <c r="Y77" s="1"/>
      <c r="Z77" s="1"/>
      <c r="AA77" s="1"/>
      <c r="AB77" s="1"/>
      <c r="AC77" s="1"/>
      <c r="AD77" s="1"/>
      <c r="AE77" s="1"/>
      <c r="AF77" s="1"/>
      <c r="AG77" s="1"/>
      <c r="AH77" s="1"/>
      <c r="AI77" s="1"/>
      <c r="AJ77" s="1"/>
      <c r="AK77" s="1"/>
      <c r="AL77" s="1"/>
      <c r="AM77" s="1"/>
      <c r="AN77" s="1"/>
      <c r="AO77" s="1"/>
      <c r="AP77" s="1"/>
      <c r="AQ77" s="1"/>
      <c r="AR77" s="1"/>
    </row>
    <row r="78" spans="7:44">
      <c r="G78" t="s">
        <v>485</v>
      </c>
      <c r="H78" s="1">
        <v>5</v>
      </c>
      <c r="S78" s="1"/>
      <c r="T78" s="1"/>
      <c r="U78" s="1"/>
      <c r="V78" s="1"/>
      <c r="W78" s="1"/>
      <c r="X78" s="1"/>
      <c r="Y78" s="1"/>
      <c r="Z78" s="1"/>
      <c r="AA78" s="1"/>
      <c r="AB78" s="1"/>
      <c r="AC78" s="1"/>
      <c r="AD78" s="1"/>
      <c r="AE78" s="1"/>
      <c r="AF78" s="1"/>
      <c r="AG78" s="1"/>
      <c r="AH78" s="1"/>
      <c r="AI78" s="1"/>
      <c r="AJ78" s="1"/>
      <c r="AK78" s="1"/>
      <c r="AL78" s="1"/>
      <c r="AM78" s="1"/>
      <c r="AN78" s="1"/>
      <c r="AO78" s="1"/>
      <c r="AP78" s="1"/>
      <c r="AQ78" s="1"/>
      <c r="AR78" s="1"/>
    </row>
    <row r="79" spans="7:44">
      <c r="G79" t="s">
        <v>486</v>
      </c>
      <c r="H79" s="1">
        <v>5</v>
      </c>
    </row>
    <row r="80" spans="7:44">
      <c r="G80" t="s">
        <v>487</v>
      </c>
      <c r="H80" s="1">
        <v>5</v>
      </c>
    </row>
    <row r="81" spans="7:8">
      <c r="G81" t="s">
        <v>488</v>
      </c>
      <c r="H81" s="1">
        <v>6</v>
      </c>
    </row>
    <row r="82" spans="7:8">
      <c r="G82" t="s">
        <v>489</v>
      </c>
      <c r="H82" s="1">
        <v>6</v>
      </c>
    </row>
    <row r="83" spans="7:8">
      <c r="G83" t="s">
        <v>490</v>
      </c>
      <c r="H83" s="1">
        <v>6</v>
      </c>
    </row>
    <row r="84" spans="7:8">
      <c r="G84" t="s">
        <v>491</v>
      </c>
      <c r="H84" s="1">
        <v>6</v>
      </c>
    </row>
    <row r="85" spans="7:8">
      <c r="G85" t="s">
        <v>327</v>
      </c>
      <c r="H85" s="1">
        <v>6</v>
      </c>
    </row>
    <row r="86" spans="7:8">
      <c r="G86" t="s">
        <v>492</v>
      </c>
      <c r="H86" s="1">
        <v>7</v>
      </c>
    </row>
    <row r="87" spans="7:8">
      <c r="G87" t="s">
        <v>493</v>
      </c>
      <c r="H87" s="1">
        <v>7</v>
      </c>
    </row>
    <row r="88" spans="7:8">
      <c r="G88" t="s">
        <v>494</v>
      </c>
      <c r="H88" s="1">
        <v>7</v>
      </c>
    </row>
    <row r="89" spans="7:8">
      <c r="G89" t="s">
        <v>495</v>
      </c>
      <c r="H89" s="1">
        <v>7</v>
      </c>
    </row>
    <row r="90" spans="7:8">
      <c r="G90" t="s">
        <v>496</v>
      </c>
      <c r="H90" s="1">
        <v>7</v>
      </c>
    </row>
    <row r="91" spans="7:8">
      <c r="G91" t="s">
        <v>497</v>
      </c>
      <c r="H91" s="1">
        <v>8</v>
      </c>
    </row>
    <row r="92" spans="7:8">
      <c r="G92" t="s">
        <v>498</v>
      </c>
      <c r="H92" s="1">
        <v>8</v>
      </c>
    </row>
    <row r="93" spans="7:8">
      <c r="G93" t="s">
        <v>499</v>
      </c>
      <c r="H93" s="1">
        <v>8</v>
      </c>
    </row>
    <row r="94" spans="7:8">
      <c r="G94" t="s">
        <v>500</v>
      </c>
      <c r="H94" s="1">
        <v>8</v>
      </c>
    </row>
    <row r="95" spans="7:8">
      <c r="G95" t="s">
        <v>501</v>
      </c>
      <c r="H95" s="1">
        <v>8</v>
      </c>
    </row>
    <row r="96" spans="7:8">
      <c r="G96" t="s">
        <v>502</v>
      </c>
      <c r="H96" s="1">
        <v>8</v>
      </c>
    </row>
    <row r="97" spans="7:8">
      <c r="G97" t="s">
        <v>503</v>
      </c>
      <c r="H97" s="1">
        <v>8</v>
      </c>
    </row>
    <row r="98" spans="7:8">
      <c r="G98" t="s">
        <v>504</v>
      </c>
      <c r="H98" s="1">
        <v>8</v>
      </c>
    </row>
    <row r="99" spans="7:8">
      <c r="G99" t="s">
        <v>505</v>
      </c>
      <c r="H99" s="1">
        <v>9</v>
      </c>
    </row>
    <row r="100" spans="7:8">
      <c r="G100" t="s">
        <v>506</v>
      </c>
      <c r="H100" s="1">
        <v>9</v>
      </c>
    </row>
    <row r="101" spans="7:8">
      <c r="G101" t="s">
        <v>507</v>
      </c>
      <c r="H101" s="1">
        <v>9</v>
      </c>
    </row>
    <row r="102" spans="7:8">
      <c r="G102" t="s">
        <v>508</v>
      </c>
      <c r="H102" s="1">
        <v>9</v>
      </c>
    </row>
    <row r="103" spans="7:8">
      <c r="G103" t="s">
        <v>509</v>
      </c>
      <c r="H103" s="1">
        <v>9</v>
      </c>
    </row>
    <row r="104" spans="7:8">
      <c r="G104" t="s">
        <v>510</v>
      </c>
      <c r="H104" s="1">
        <v>10</v>
      </c>
    </row>
    <row r="105" spans="7:8">
      <c r="G105" t="s">
        <v>511</v>
      </c>
      <c r="H105" s="1">
        <v>10</v>
      </c>
    </row>
    <row r="106" spans="7:8">
      <c r="G106" t="s">
        <v>512</v>
      </c>
      <c r="H106" s="1">
        <v>10</v>
      </c>
    </row>
    <row r="107" spans="7:8">
      <c r="G107" t="s">
        <v>513</v>
      </c>
      <c r="H107" s="1">
        <v>10</v>
      </c>
    </row>
    <row r="108" spans="7:8">
      <c r="G108" t="s">
        <v>514</v>
      </c>
      <c r="H108" s="1">
        <v>10</v>
      </c>
    </row>
    <row r="109" spans="7:8">
      <c r="G109" t="s">
        <v>515</v>
      </c>
      <c r="H109" s="1">
        <v>11</v>
      </c>
    </row>
    <row r="110" spans="7:8">
      <c r="G110" t="s">
        <v>516</v>
      </c>
      <c r="H110" s="1">
        <v>11</v>
      </c>
    </row>
    <row r="111" spans="7:8">
      <c r="G111" t="s">
        <v>517</v>
      </c>
      <c r="H111" s="1">
        <v>11</v>
      </c>
    </row>
    <row r="112" spans="7:8">
      <c r="G112" t="s">
        <v>518</v>
      </c>
      <c r="H112" s="1">
        <v>11</v>
      </c>
    </row>
    <row r="113" spans="7:8">
      <c r="G113" t="s">
        <v>519</v>
      </c>
      <c r="H113" s="1">
        <v>11</v>
      </c>
    </row>
    <row r="114" spans="7:8">
      <c r="G114" t="s">
        <v>520</v>
      </c>
      <c r="H114" s="1">
        <v>11</v>
      </c>
    </row>
    <row r="115" spans="7:8">
      <c r="G115" t="s">
        <v>521</v>
      </c>
      <c r="H115" s="1">
        <v>11</v>
      </c>
    </row>
    <row r="116" spans="7:8">
      <c r="G116" t="s">
        <v>522</v>
      </c>
      <c r="H116" s="1">
        <v>11</v>
      </c>
    </row>
    <row r="117" spans="7:8">
      <c r="G117" t="s">
        <v>523</v>
      </c>
      <c r="H117" s="1">
        <v>12</v>
      </c>
    </row>
    <row r="118" spans="7:8">
      <c r="G118" t="s">
        <v>524</v>
      </c>
      <c r="H118" s="1">
        <v>12</v>
      </c>
    </row>
    <row r="119" spans="7:8">
      <c r="G119" t="s">
        <v>525</v>
      </c>
      <c r="H119" s="1">
        <v>12</v>
      </c>
    </row>
    <row r="120" spans="7:8">
      <c r="G120" t="s">
        <v>526</v>
      </c>
      <c r="H120" s="1">
        <v>12</v>
      </c>
    </row>
    <row r="121" spans="7:8">
      <c r="G121" t="s">
        <v>527</v>
      </c>
      <c r="H121" s="1">
        <v>12</v>
      </c>
    </row>
    <row r="122" spans="7:8">
      <c r="G122" t="s">
        <v>528</v>
      </c>
      <c r="H122" s="1">
        <v>12</v>
      </c>
    </row>
    <row r="123" spans="7:8">
      <c r="G123" t="s">
        <v>529</v>
      </c>
      <c r="H123" s="1">
        <v>13</v>
      </c>
    </row>
    <row r="124" spans="7:8">
      <c r="G124" t="s">
        <v>530</v>
      </c>
      <c r="H124" s="1">
        <v>13</v>
      </c>
    </row>
    <row r="125" spans="7:8">
      <c r="G125" t="s">
        <v>531</v>
      </c>
      <c r="H125" s="1">
        <v>13</v>
      </c>
    </row>
    <row r="126" spans="7:8">
      <c r="G126" t="s">
        <v>532</v>
      </c>
      <c r="H126" s="1">
        <v>13</v>
      </c>
    </row>
    <row r="127" spans="7:8">
      <c r="G127" t="s">
        <v>533</v>
      </c>
      <c r="H127" s="1">
        <v>13</v>
      </c>
    </row>
    <row r="128" spans="7:8">
      <c r="G128" t="s">
        <v>534</v>
      </c>
      <c r="H128" s="1">
        <v>13</v>
      </c>
    </row>
    <row r="129" spans="7:8">
      <c r="G129" t="s">
        <v>535</v>
      </c>
      <c r="H129" s="1">
        <v>13</v>
      </c>
    </row>
    <row r="130" spans="7:8">
      <c r="G130" t="s">
        <v>536</v>
      </c>
      <c r="H130" s="1">
        <v>14</v>
      </c>
    </row>
    <row r="131" spans="7:8">
      <c r="G131" t="s">
        <v>537</v>
      </c>
      <c r="H131" s="1">
        <v>14</v>
      </c>
    </row>
    <row r="132" spans="7:8">
      <c r="G132" t="s">
        <v>538</v>
      </c>
      <c r="H132" s="1">
        <v>14</v>
      </c>
    </row>
    <row r="133" spans="7:8">
      <c r="G133" t="s">
        <v>539</v>
      </c>
      <c r="H133" s="1">
        <v>14</v>
      </c>
    </row>
    <row r="134" spans="7:8">
      <c r="G134" t="s">
        <v>540</v>
      </c>
      <c r="H134" s="1">
        <v>14</v>
      </c>
    </row>
    <row r="135" spans="7:8">
      <c r="G135" t="s">
        <v>541</v>
      </c>
      <c r="H135" s="1">
        <v>14</v>
      </c>
    </row>
    <row r="136" spans="7:8">
      <c r="G136" t="s">
        <v>542</v>
      </c>
      <c r="H136" s="1">
        <v>14</v>
      </c>
    </row>
    <row r="137" spans="7:8">
      <c r="G137" t="s">
        <v>543</v>
      </c>
      <c r="H137" s="1">
        <v>14</v>
      </c>
    </row>
    <row r="138" spans="7:8">
      <c r="G138" t="s">
        <v>544</v>
      </c>
      <c r="H138" s="1">
        <v>14</v>
      </c>
    </row>
    <row r="139" spans="7:8">
      <c r="G139" t="s">
        <v>545</v>
      </c>
      <c r="H139" s="1">
        <v>14</v>
      </c>
    </row>
  </sheetData>
  <mergeCells count="10">
    <mergeCell ref="L11:W11"/>
    <mergeCell ref="AA11:AL11"/>
    <mergeCell ref="J11:K11"/>
    <mergeCell ref="Y11:Z11"/>
    <mergeCell ref="AW3:BB3"/>
    <mergeCell ref="AQ3:AV3"/>
    <mergeCell ref="AK3:AP3"/>
    <mergeCell ref="AE3:AJ3"/>
    <mergeCell ref="Y3:AD3"/>
    <mergeCell ref="S3:X3"/>
  </mergeCells>
  <conditionalFormatting sqref="H5:J5">
    <cfRule type="containsBlanks" dxfId="19" priority="2">
      <formula>LEN(TRIM(H5))=0</formula>
    </cfRule>
  </conditionalFormatting>
  <conditionalFormatting sqref="R5">
    <cfRule type="containsBlanks" dxfId="18" priority="1">
      <formula>LEN(TRIM(R5))=0</formula>
    </cfRule>
  </conditionalFormatting>
  <dataValidations count="2">
    <dataValidation type="list" allowBlank="1" showInputMessage="1" showErrorMessage="1" sqref="H5" xr:uid="{CCF58ED9-0A01-4804-86A3-097A43C69438}">
      <formula1>$D$45:$D$60</formula1>
    </dataValidation>
    <dataValidation type="list" allowBlank="1" showInputMessage="1" showErrorMessage="1" sqref="R5" xr:uid="{9CA5A2FD-C264-4F42-B820-61722E2F7177}">
      <formula1>$B$44:$B$53</formula1>
    </dataValidation>
  </dataValidation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04AF8-964A-4613-B113-9A8F5175EAF1}">
  <sheetPr codeName="Sheet16"/>
  <dimension ref="A1:AL150"/>
  <sheetViews>
    <sheetView workbookViewId="0"/>
  </sheetViews>
  <sheetFormatPr defaultColWidth="9.15625" defaultRowHeight="14.4"/>
  <cols>
    <col min="1" max="1" width="23.5234375" style="98" customWidth="1"/>
    <col min="2" max="2" width="28.15625" style="98" hidden="1" customWidth="1"/>
    <col min="3" max="3" width="27.7890625" style="98" bestFit="1" customWidth="1"/>
    <col min="4" max="4" width="40.15625" style="98" bestFit="1" customWidth="1"/>
    <col min="5" max="5" width="82.26171875" style="98" customWidth="1"/>
    <col min="6" max="6" width="21.5234375" style="98" bestFit="1" customWidth="1"/>
    <col min="7" max="7" width="23.5234375" style="98" bestFit="1" customWidth="1"/>
    <col min="8" max="8" width="30.7890625" style="98" customWidth="1"/>
    <col min="9" max="9" width="9.15625" style="98" customWidth="1"/>
    <col min="10" max="10" width="8.5234375" style="98" customWidth="1"/>
    <col min="11" max="11" width="6.26171875" style="98" bestFit="1" customWidth="1"/>
    <col min="12" max="12" width="4.47265625" style="98" bestFit="1" customWidth="1"/>
    <col min="13" max="13" width="8.26171875" style="98" bestFit="1" customWidth="1"/>
    <col min="14" max="14" width="9.15625" style="98" hidden="1" customWidth="1"/>
    <col min="15" max="15" width="9.26171875" style="98" hidden="1" customWidth="1"/>
    <col min="16" max="16" width="9.15625" style="98" hidden="1" customWidth="1"/>
    <col min="17" max="17" width="9.26171875" style="98" hidden="1" customWidth="1"/>
    <col min="18" max="18" width="9.15625" style="98" hidden="1" customWidth="1"/>
    <col min="19" max="19" width="14.26171875" style="98" hidden="1" customWidth="1"/>
    <col min="20" max="20" width="12.26171875" style="98" hidden="1" customWidth="1"/>
    <col min="21" max="21" width="11" style="98" hidden="1" customWidth="1"/>
    <col min="22" max="22" width="9.15625" style="98" hidden="1" customWidth="1"/>
    <col min="23" max="23" width="12" style="98" hidden="1" customWidth="1"/>
    <col min="24" max="24" width="9.15625" style="98" hidden="1" customWidth="1"/>
    <col min="25" max="28" width="9.26171875" style="98" hidden="1" customWidth="1"/>
    <col min="29" max="29" width="9.15625" style="98" hidden="1" customWidth="1"/>
    <col min="30" max="30" width="12.47265625" style="98" hidden="1" customWidth="1"/>
    <col min="31" max="31" width="12.5234375" style="98" hidden="1" customWidth="1"/>
    <col min="32" max="32" width="12.5234375" style="98" bestFit="1" customWidth="1"/>
    <col min="33" max="33" width="36.15625" style="98" bestFit="1" customWidth="1"/>
    <col min="34" max="34" width="6.26171875" style="98" bestFit="1" customWidth="1"/>
    <col min="35" max="35" width="5.15625" style="437" bestFit="1" customWidth="1"/>
    <col min="36" max="36" width="13.47265625" style="98" bestFit="1" customWidth="1"/>
    <col min="37" max="37" width="9.15625" style="98"/>
    <col min="38" max="38" width="13.15625" style="98" bestFit="1" customWidth="1"/>
    <col min="39" max="16384" width="9.15625" style="98"/>
  </cols>
  <sheetData>
    <row r="1" spans="1:38">
      <c r="A1" s="228" t="s">
        <v>413</v>
      </c>
    </row>
    <row r="2" spans="1:38" s="452" customFormat="1" ht="31.5">
      <c r="A2" s="438" t="s">
        <v>386</v>
      </c>
      <c r="B2" s="439" t="s">
        <v>387</v>
      </c>
      <c r="C2" s="439" t="s">
        <v>388</v>
      </c>
      <c r="D2" s="439" t="s">
        <v>389</v>
      </c>
      <c r="E2" s="439" t="s">
        <v>108</v>
      </c>
      <c r="F2" s="439" t="s">
        <v>390</v>
      </c>
      <c r="G2" s="440" t="s">
        <v>391</v>
      </c>
      <c r="H2" s="439" t="s">
        <v>392</v>
      </c>
      <c r="I2" s="441"/>
      <c r="J2" s="442" t="s">
        <v>393</v>
      </c>
      <c r="K2" s="442" t="s">
        <v>394</v>
      </c>
      <c r="L2" s="442" t="s">
        <v>395</v>
      </c>
      <c r="M2" s="443" t="s">
        <v>396</v>
      </c>
      <c r="N2" s="444"/>
      <c r="O2" s="445" t="s">
        <v>397</v>
      </c>
      <c r="P2" s="442" t="s">
        <v>398</v>
      </c>
      <c r="Q2" s="442" t="s">
        <v>399</v>
      </c>
      <c r="R2" s="442" t="s">
        <v>400</v>
      </c>
      <c r="S2" s="442" t="s">
        <v>401</v>
      </c>
      <c r="T2" s="442" t="s">
        <v>402</v>
      </c>
      <c r="U2" s="443" t="s">
        <v>403</v>
      </c>
      <c r="V2" s="446"/>
      <c r="W2" s="447" t="s">
        <v>404</v>
      </c>
      <c r="X2" s="448" t="s">
        <v>405</v>
      </c>
      <c r="Y2" s="448" t="s">
        <v>406</v>
      </c>
      <c r="Z2" s="448" t="s">
        <v>407</v>
      </c>
      <c r="AA2" s="448" t="s">
        <v>408</v>
      </c>
      <c r="AB2" s="448" t="s">
        <v>409</v>
      </c>
      <c r="AC2" s="449" t="s">
        <v>410</v>
      </c>
      <c r="AD2" s="448" t="s">
        <v>411</v>
      </c>
      <c r="AE2" s="450" t="s">
        <v>412</v>
      </c>
      <c r="AF2" s="451"/>
      <c r="AH2" s="598"/>
      <c r="AI2" s="598"/>
      <c r="AJ2" s="453"/>
      <c r="AK2" s="453"/>
      <c r="AL2" s="453"/>
    </row>
    <row r="3" spans="1:38" s="452" customFormat="1" ht="12.9">
      <c r="A3" s="454" t="s">
        <v>375</v>
      </c>
      <c r="B3" s="455" t="s">
        <v>376</v>
      </c>
      <c r="C3" s="456" t="s">
        <v>186</v>
      </c>
      <c r="D3" s="457" t="s">
        <v>377</v>
      </c>
      <c r="E3" s="457" t="s">
        <v>378</v>
      </c>
      <c r="F3" s="458" t="s">
        <v>379</v>
      </c>
      <c r="G3" s="458" t="s">
        <v>380</v>
      </c>
      <c r="H3" s="459" t="s">
        <v>381</v>
      </c>
      <c r="I3" s="460"/>
      <c r="J3" s="461">
        <v>72</v>
      </c>
      <c r="K3" s="462"/>
      <c r="L3" s="463">
        <f>(100-J3)/100</f>
        <v>0.28</v>
      </c>
      <c r="M3" s="464">
        <v>0.04</v>
      </c>
      <c r="N3" s="465"/>
      <c r="O3" s="466">
        <v>20</v>
      </c>
      <c r="P3" s="467" t="s">
        <v>382</v>
      </c>
      <c r="Q3" s="467">
        <v>0</v>
      </c>
      <c r="R3" s="468" t="s">
        <v>13</v>
      </c>
      <c r="S3" s="468">
        <f>VLOOKUP(R3,'[2]CRASH COSTS'!$B$5:$E$19,2,FALSE)</f>
        <v>4129000</v>
      </c>
      <c r="T3" s="468">
        <f>VLOOKUP(R3,'[2]CRASH COSTS'!$B$5:$E$19,3,FALSE)</f>
        <v>187000</v>
      </c>
      <c r="U3" s="469">
        <f>VLOOKUP(R3,'[2]CRASH COSTS'!$B$5:$E$19,4,FALSE)</f>
        <v>15100</v>
      </c>
      <c r="V3" s="465"/>
      <c r="W3" s="470" t="s">
        <v>383</v>
      </c>
      <c r="X3" s="471" t="s">
        <v>384</v>
      </c>
      <c r="Y3" s="471">
        <v>2010</v>
      </c>
      <c r="Z3" s="472">
        <v>253</v>
      </c>
      <c r="AA3" s="471">
        <v>3131</v>
      </c>
      <c r="AB3" s="471">
        <v>3</v>
      </c>
      <c r="AC3" s="473"/>
      <c r="AD3" s="474" t="s">
        <v>385</v>
      </c>
      <c r="AE3" s="475" t="s">
        <v>385</v>
      </c>
      <c r="AF3" s="451"/>
      <c r="AH3" s="598"/>
      <c r="AI3" s="598"/>
    </row>
    <row r="4" spans="1:38" s="452" customFormat="1" ht="10.8" thickBot="1">
      <c r="A4" s="476"/>
      <c r="B4" s="476"/>
      <c r="C4" s="477"/>
      <c r="D4" s="478"/>
      <c r="E4" s="478"/>
      <c r="F4" s="479"/>
      <c r="G4" s="479"/>
      <c r="H4" s="480"/>
      <c r="I4" s="481"/>
      <c r="J4" s="482"/>
      <c r="K4" s="483"/>
      <c r="L4" s="484"/>
      <c r="M4" s="485"/>
      <c r="N4" s="486"/>
      <c r="O4" s="484"/>
      <c r="P4" s="487"/>
      <c r="Q4" s="487"/>
      <c r="R4" s="486"/>
      <c r="S4" s="486"/>
      <c r="T4" s="486"/>
      <c r="U4" s="486"/>
      <c r="V4" s="486"/>
      <c r="W4" s="488"/>
      <c r="X4" s="485"/>
      <c r="Y4" s="485"/>
      <c r="Z4" s="489"/>
      <c r="AA4" s="485"/>
      <c r="AB4" s="485"/>
      <c r="AC4" s="488"/>
      <c r="AD4" s="490"/>
      <c r="AE4" s="490"/>
      <c r="AF4" s="451"/>
    </row>
    <row r="5" spans="1:38" ht="14.7" thickBot="1">
      <c r="D5" s="126" t="s">
        <v>415</v>
      </c>
      <c r="E5" s="530" t="str">
        <f>Assumptions!D7&amp;IF(Assumptions!D8="N/A",""," - Signal ID "&amp;Assumptions!D8)</f>
        <v>05-08-203 (TIP #W-5601HP) - Signal ID 05-1723</v>
      </c>
      <c r="G5" s="491" t="s">
        <v>42</v>
      </c>
      <c r="O5" s="98" t="s">
        <v>696</v>
      </c>
      <c r="AF5" s="452"/>
      <c r="AG5" s="492" t="s">
        <v>424</v>
      </c>
      <c r="AH5" s="493" t="s">
        <v>16</v>
      </c>
      <c r="AI5" s="494" t="s">
        <v>17</v>
      </c>
      <c r="AJ5" s="492" t="s">
        <v>434</v>
      </c>
    </row>
    <row r="6" spans="1:38">
      <c r="D6" s="495" t="s">
        <v>735</v>
      </c>
      <c r="E6" s="531" t="str">
        <f>Assumptions!D9&amp;", "&amp;Assumptions!D11&amp;" County"</f>
        <v>SR 1375 (Lake Wheeler Road) at SR 1390 (Optimist Farm Road)/SR 1503 (Donnybrook Road), Wake County</v>
      </c>
      <c r="G6" s="496" t="s">
        <v>38</v>
      </c>
      <c r="N6" s="98" t="s">
        <v>697</v>
      </c>
      <c r="O6" s="98" t="str">
        <f>Assumptions!D9</f>
        <v>SR 1375 (Lake Wheeler Road) at SR 1390 (Optimist Farm Road)/SR 1503 (Donnybrook Road)</v>
      </c>
      <c r="AF6" s="452"/>
      <c r="AG6" s="517" t="s">
        <v>19</v>
      </c>
      <c r="AH6" s="518">
        <f>Before!$AB$9</f>
        <v>20</v>
      </c>
      <c r="AI6" s="519">
        <f>After!$AB$9</f>
        <v>35</v>
      </c>
      <c r="AJ6" s="512">
        <f>IFERROR(ROUND((AI6-AH6)/AH6,2), "n/a")</f>
        <v>0.75</v>
      </c>
    </row>
    <row r="7" spans="1:38" ht="14.7" thickBot="1">
      <c r="D7" s="495" t="s">
        <v>367</v>
      </c>
      <c r="E7" s="533" t="str">
        <f>"https://www.google.com/maps/search/?api=1&amp;query=" &amp; Assumptions!D10</f>
        <v>https://www.google.com/maps/search/?api=1&amp;query=35.657816, -78.717261</v>
      </c>
      <c r="G7" s="497" t="s">
        <v>331</v>
      </c>
      <c r="N7" s="98" t="s">
        <v>698</v>
      </c>
      <c r="O7" s="98" cm="1" vm="1" t="str">
        <f t="array" ref="O7">_xlfn.REGEXEXTRACT(E5,"[0-9]{2}-[0-9]{2}-[0-9]{5}")</f>
        <v>W-5601HP</v>
      </c>
      <c r="AG7" s="520" t="s">
        <v>22</v>
      </c>
      <c r="AH7" s="521">
        <f>Before!$AF$9</f>
        <v>4</v>
      </c>
      <c r="AI7" s="522">
        <f>After!$AF$9</f>
        <v>5</v>
      </c>
      <c r="AJ7" s="513">
        <f>IFERROR(ROUND((AI7-AH7)/AH7,2), "n/a")</f>
        <v>0.25</v>
      </c>
    </row>
    <row r="8" spans="1:38">
      <c r="D8" s="495" t="s">
        <v>416</v>
      </c>
      <c r="E8" s="498"/>
      <c r="N8" s="98" t="s">
        <v>699</v>
      </c>
      <c r="O8" s="98" cm="1" t="str">
        <f t="array" ref="O8">_xlfn.REGEXEXTRACT(E5,"[A-Z]{1,2}-[0-9]{4}[A-Z]{1,2}")</f>
        <v>W-5601HP</v>
      </c>
      <c r="AG8" s="520" t="s">
        <v>380</v>
      </c>
      <c r="AH8" s="523">
        <f>SUM(Before!$AB$4:$AB$7)</f>
        <v>5</v>
      </c>
      <c r="AI8" s="524">
        <f>SUM(After!$AB$4:$AB$7)</f>
        <v>9</v>
      </c>
      <c r="AJ8" s="514">
        <f t="shared" ref="AJ8:AJ19" si="0">IFERROR(ROUND((AI8-AH8)/AH8,2), "n/a")</f>
        <v>0.8</v>
      </c>
    </row>
    <row r="9" spans="1:38">
      <c r="A9" s="228"/>
      <c r="D9" s="495" t="s">
        <v>417</v>
      </c>
      <c r="E9" s="531" t="str">
        <f>IF(_xlfn.XLOOKUP(G3,AG6:AG23,AH6:AH23)=_xlfn.XLOOKUP(G3,AG6:AG23,AI6:AI23),"No Change in "&amp;G3,IF(_xlfn.XLOOKUP(G3,AG6:AG23,AH6:AH23)=0,"Over 100% increase in "&amp;G3,IF(_xlfn.XLOOKUP(G3,AG6:AG23,AJ6:AJ23)&gt;1,"Over 100% increase in "&amp;G3,ABS(_xlfn.XLOOKUP(G3,AG6:AG23,AJ6:AJ23))*100&amp;"% "&amp;IF(_xlfn.XLOOKUP(G3,AG6:AG23,AJ6:AJ23)&gt;0,"increase",IF(_xlfn.XLOOKUP(G3,AG6:AG23,AJ6:AJ23)=0,"change","decrease"))&amp;" in "&amp;G3)))</f>
        <v>80% increase in Injury Crashes</v>
      </c>
      <c r="AG9" s="520" t="s">
        <v>428</v>
      </c>
      <c r="AH9" s="523">
        <f>SUM(Before!$AF$4:$AF$7)</f>
        <v>2</v>
      </c>
      <c r="AI9" s="524">
        <f>SUM(After!$AF$4:$AF$7)</f>
        <v>3</v>
      </c>
      <c r="AJ9" s="514">
        <f t="shared" si="0"/>
        <v>0.5</v>
      </c>
    </row>
    <row r="10" spans="1:38" ht="14.7" thickBot="1">
      <c r="A10" s="228"/>
      <c r="D10" s="133" t="s">
        <v>418</v>
      </c>
      <c r="E10" s="532" t="str">
        <f>IF(M3*100&gt;ABS(J3),IF(J3&gt;0,ABS(J3-M3*100)&amp;"% increase - "&amp;ABS(J3+M3*100)&amp;" % decrease ",ABS(J3+M3*100)&amp;"% decrease - "&amp;ABS(J3-M3*100)&amp;" % increase "),IF(M3&gt;0,IF(J3&gt;0,ABS((J3-M3*100))&amp;" - "&amp;ABS((J3+M3*100))&amp;"% decrease ",ABS((J3+M3*100))&amp;" - "&amp;ABS((J3-M3*100))&amp;"% increase "),IF(J3&gt;0,ABS(J3)&amp;"% decrease ",ABS(J3)&amp;"% increase ")))&amp;"in "&amp;G3</f>
        <v>68 - 76% decrease in Injury Crashes</v>
      </c>
      <c r="AG10" s="525" t="s">
        <v>319</v>
      </c>
      <c r="AH10" s="523">
        <f>COUNTIFS(Before!$D$4:$D$1003,"&gt;=2",Before!$D$4:$D$1003,"&lt;=3")</f>
        <v>5</v>
      </c>
      <c r="AI10" s="524">
        <f>COUNTIFS(After!$D$4:$D$1003,"&gt;=2",After!$D$4:$D$1003,"&lt;=3")</f>
        <v>4</v>
      </c>
      <c r="AJ10" s="514">
        <f t="shared" si="0"/>
        <v>-0.2</v>
      </c>
    </row>
    <row r="11" spans="1:38" ht="14.7" thickBot="1">
      <c r="D11" s="228"/>
      <c r="AG11" s="525" t="s">
        <v>427</v>
      </c>
      <c r="AH11" s="523">
        <f>COUNTIFS(Before!$D$4:$D$1003,"&gt;=2",Before!$D$4:$D$1003,"&lt;=3")</f>
        <v>5</v>
      </c>
      <c r="AI11" s="524">
        <f>COUNTIFS(After!$D$4:$D$1003,"&gt;=2",After!$D$4:$D$1003,"&lt;=3")</f>
        <v>4</v>
      </c>
      <c r="AJ11" s="514">
        <f t="shared" si="0"/>
        <v>-0.2</v>
      </c>
    </row>
    <row r="12" spans="1:38" ht="14.7" thickBot="1">
      <c r="D12" s="121" t="s">
        <v>440</v>
      </c>
      <c r="E12" s="534" t="str">
        <f>"Total Crashes "&amp;IF(AH6=AI6,"did not change",IF(AH6=0,"increased by over 100%",IF(AJ6&gt;1,"increased by over 100%",IF(AJ6&gt;0,"increased","decreased")&amp;" by "&amp;ABS(AJ6)*100&amp;"%")))&amp;" ("&amp;AH6&amp;" to "&amp;AI6&amp;"); Target crashes "&amp;IF(AH7=AI7,"did not change",IF(AH7=0,"increased by over 100%",IF(AJ7&gt;1,"increased by over 100%",IF(AJ7&gt;0,"increased","decreased"))&amp;" by "&amp;ABS(AJ7)*100&amp;"%"))&amp;" ("&amp;AH7&amp;" to "&amp;AI7&amp;")"</f>
        <v>Total Crashes increased by 75% (20 to 35); Target crashes increased by 25% (4 to 5)</v>
      </c>
      <c r="AG12" s="525" t="s">
        <v>429</v>
      </c>
      <c r="AH12" s="523">
        <f>COUNTIFS(Before!$F$4:$F$1003,"&gt;=4",Before!$F$4:$F$1003,"&lt;=6")</f>
        <v>1</v>
      </c>
      <c r="AI12" s="524">
        <f>COUNTIFS(After!$F$4:$F$1003,"&gt;=4",After!$F$4:$F$1003,"&lt;=6")</f>
        <v>3</v>
      </c>
      <c r="AJ12" s="514">
        <f t="shared" si="0"/>
        <v>2</v>
      </c>
    </row>
    <row r="13" spans="1:38" ht="14.7" thickBot="1">
      <c r="AG13" s="525" t="s">
        <v>430</v>
      </c>
      <c r="AH13" s="523">
        <f>COUNTIFS(Before!$F$4:$F$1003,"&gt;=4",Before!$F$4:$F$1003,"&lt;=6",Before!$G$4:$G$1003,"K")</f>
        <v>0</v>
      </c>
      <c r="AI13" s="524">
        <f>COUNTIFS(After!$F$4:$F$1003,"&gt;=4",After!$F$4:$F$1003,"&lt;=6",After!$G$4:$G$1003,"K")</f>
        <v>0</v>
      </c>
      <c r="AJ13" s="514" t="str">
        <f t="shared" si="0"/>
        <v>n/a</v>
      </c>
    </row>
    <row r="14" spans="1:38">
      <c r="D14" s="851" t="s">
        <v>419</v>
      </c>
      <c r="E14" s="842" t="e" vm="2">
        <f ca="1">"* From the current NCDOT CRF List, a "&amp;ABS(J3)&amp;IF(M3&gt;0,"% (+/- "&amp;(M3*100)&amp;"%)","%")&amp;IF(J3&gt;0, " decrease", " increase")&amp;" in "&amp;G3&amp;" is the expected crash change for “"&amp;E3&amp;"” "&amp;IF(F3="All","","at “"&amp;F3&amp;"” sites ")&amp;"(CRF "&amp;A3&amp;_xlfn._LONGTEXT(").  This information is provided to compare expected crash reductions from research with what was realized at the study location.  The effectiveness of safety countermeasures varies from one location to another.  Because a project did not meet expectation","s does not mean the countermeasure is a poor treatment.  There are many factors that can influence safety effectiveness, such as traffic volumes, user demographics, location specific features, randomness of crashes, and other events that cannot be control","led for.")</f>
        <v>#NAME?</v>
      </c>
      <c r="F14" s="843"/>
      <c r="G14" s="843"/>
      <c r="H14" s="844"/>
      <c r="AG14" s="525" t="s">
        <v>431</v>
      </c>
      <c r="AH14" s="523">
        <f>COUNTIFS(Before!$F$4:$F$1003,"&gt;=4",Before!$F$4:$F$1003,"&lt;=6",Before!$G$4:$G$1003,"A")+COUNTIFS(Before!$F$4:$F$1003,"&gt;=4",Before!$F$4:$F$1003,"&lt;=6",Before!$G$4:$G$1003,"B")+COUNTIFS(Before!$F$4:$F$1003,"&gt;=4",Before!$F$4:$F$1003,"&lt;=6",Before!$G$4:$G$1003,"C")</f>
        <v>0</v>
      </c>
      <c r="AI14" s="524">
        <f>COUNTIFS(After!$F$4:$F$1003,"&gt;=4",After!$F$4:$F$1003,"&lt;=6",After!$G$4:$G$1003,"A")+COUNTIFS(After!$F$4:$F$1003,"&gt;=4",After!$F$4:$F$1003,"&lt;=6",After!$G$4:$G$1003,"B")+COUNTIFS(After!$F$4:$F$1003,"&gt;=4",After!$F$4:$F$1003,"&lt;=6",After!$G$4:$G$1003,"C")</f>
        <v>1</v>
      </c>
      <c r="AJ14" s="514" t="str">
        <f t="shared" si="0"/>
        <v>n/a</v>
      </c>
    </row>
    <row r="15" spans="1:38">
      <c r="D15" s="852"/>
      <c r="E15" s="845"/>
      <c r="F15" s="846"/>
      <c r="G15" s="846"/>
      <c r="H15" s="847"/>
      <c r="AG15" s="525" t="s">
        <v>432</v>
      </c>
      <c r="AH15" s="523">
        <f>COUNTIFS(Before!$F$4:$F$1003,"&gt;=4",Before!$F$4:$F$1003,"&lt;=6",Before!$G$4:$G$1003,"O")</f>
        <v>1</v>
      </c>
      <c r="AI15" s="524">
        <f>COUNTIFS(After!$F$4:$F$1003,"&gt;=4",After!$F$4:$F$1003,"&lt;=6",After!$G$4:$G$1003,"O")</f>
        <v>2</v>
      </c>
      <c r="AJ15" s="514">
        <f t="shared" si="0"/>
        <v>1</v>
      </c>
    </row>
    <row r="16" spans="1:38">
      <c r="D16" s="852"/>
      <c r="E16" s="845"/>
      <c r="F16" s="846"/>
      <c r="G16" s="846"/>
      <c r="H16" s="847"/>
      <c r="AG16" s="525" t="s">
        <v>433</v>
      </c>
      <c r="AH16" s="523">
        <f>COUNTIFS(Before!$F$4:$F$1003,"&gt;=1",Before!$F$4:$F$1003,"&lt;=3")</f>
        <v>19</v>
      </c>
      <c r="AI16" s="524">
        <f>COUNTIFS(After!$F$4:$F$1003,"&gt;=1",After!$F$4:$F$1003,"&lt;=3")</f>
        <v>32</v>
      </c>
      <c r="AJ16" s="514">
        <f t="shared" si="0"/>
        <v>0.68</v>
      </c>
    </row>
    <row r="17" spans="4:36" ht="15" customHeight="1">
      <c r="D17" s="852"/>
      <c r="E17" s="845"/>
      <c r="F17" s="846"/>
      <c r="G17" s="846"/>
      <c r="H17" s="847"/>
      <c r="AG17" s="525" t="s">
        <v>425</v>
      </c>
      <c r="AH17" s="523">
        <f>Before!$AB$4</f>
        <v>0</v>
      </c>
      <c r="AI17" s="524">
        <f>After!$AB$4</f>
        <v>0</v>
      </c>
      <c r="AJ17" s="514" t="str">
        <f t="shared" si="0"/>
        <v>n/a</v>
      </c>
    </row>
    <row r="18" spans="4:36">
      <c r="D18" s="852"/>
      <c r="E18" s="845"/>
      <c r="F18" s="846"/>
      <c r="G18" s="846"/>
      <c r="H18" s="847"/>
      <c r="AG18" s="520" t="s">
        <v>421</v>
      </c>
      <c r="AH18" s="523">
        <f>SUM(Before!$AB$4:$AB$6)</f>
        <v>0</v>
      </c>
      <c r="AI18" s="524">
        <f>SUM(After!$AB$4:$AB$6)</f>
        <v>2</v>
      </c>
      <c r="AJ18" s="514" t="str">
        <f t="shared" si="0"/>
        <v>n/a</v>
      </c>
    </row>
    <row r="19" spans="4:36">
      <c r="D19" s="852"/>
      <c r="E19" s="845"/>
      <c r="F19" s="846"/>
      <c r="G19" s="846"/>
      <c r="H19" s="847"/>
      <c r="AG19" s="525" t="s">
        <v>422</v>
      </c>
      <c r="AH19" s="523">
        <f>SUM(Before!$AB$4:$AB$5)</f>
        <v>0</v>
      </c>
      <c r="AI19" s="524">
        <f>SUM(After!$AB$4:$AB$5)</f>
        <v>0</v>
      </c>
      <c r="AJ19" s="514" t="str">
        <f t="shared" si="0"/>
        <v>n/a</v>
      </c>
    </row>
    <row r="20" spans="4:36" ht="14.7" thickBot="1">
      <c r="D20" s="853"/>
      <c r="E20" s="848"/>
      <c r="F20" s="849"/>
      <c r="G20" s="849"/>
      <c r="H20" s="850"/>
      <c r="AG20" s="525" t="s">
        <v>423</v>
      </c>
      <c r="AH20" s="523">
        <f>SUM(Before!$AB$6:$AB$7)</f>
        <v>5</v>
      </c>
      <c r="AI20" s="524">
        <f>SUM(After!$AB$6:$AB$7)</f>
        <v>9</v>
      </c>
      <c r="AJ20" s="514">
        <f>IFERROR(ROUND((AF20-AH20)/AH20,2), "n/a")</f>
        <v>-1</v>
      </c>
    </row>
    <row r="21" spans="4:36" ht="15" customHeight="1" thickBot="1">
      <c r="D21" s="499"/>
      <c r="E21" s="500"/>
      <c r="F21" s="500"/>
      <c r="G21" s="500"/>
      <c r="H21" s="500"/>
      <c r="AG21" s="520" t="s">
        <v>426</v>
      </c>
      <c r="AH21" s="523">
        <f>SUM(Before!$AB$5:$AB$7)</f>
        <v>5</v>
      </c>
      <c r="AI21" s="524">
        <f>SUM(After!$AB$5:$AB$7)</f>
        <v>9</v>
      </c>
      <c r="AJ21" s="514">
        <f>IFERROR(ROUND((AF21-AH21)/AH21,2), "n/a")</f>
        <v>-1</v>
      </c>
    </row>
    <row r="22" spans="4:36" ht="14.7" thickBot="1">
      <c r="D22" s="126" t="s">
        <v>414</v>
      </c>
      <c r="E22" s="535">
        <f>Assumptions!D13</f>
        <v>5</v>
      </c>
      <c r="AG22" s="526" t="s">
        <v>420</v>
      </c>
      <c r="AH22" s="527">
        <f>Before!$AB$8</f>
        <v>15</v>
      </c>
      <c r="AI22" s="528">
        <f>After!$AB$8</f>
        <v>26</v>
      </c>
      <c r="AJ22" s="515">
        <f>IFERROR(ROUND((AF22-AH22)/AH22,2), "n/a")</f>
        <v>-1</v>
      </c>
    </row>
    <row r="23" spans="4:36" ht="14.7" thickBot="1">
      <c r="D23" s="495" t="s">
        <v>435</v>
      </c>
      <c r="E23" s="501"/>
      <c r="AF23" s="98" t="s">
        <v>439</v>
      </c>
      <c r="AG23" s="529" t="str">
        <f>G3</f>
        <v>Injury Crashes</v>
      </c>
      <c r="AH23" s="502"/>
      <c r="AI23" s="503"/>
      <c r="AJ23" s="516" t="str">
        <f>IFERROR(ROUND((AI23-AH23)/AH23,2), "n/a")</f>
        <v>n/a</v>
      </c>
    </row>
    <row r="24" spans="4:36" ht="15" customHeight="1">
      <c r="D24" s="495" t="s">
        <v>436</v>
      </c>
      <c r="E24" s="501"/>
      <c r="AI24" s="504"/>
    </row>
    <row r="25" spans="4:36">
      <c r="D25" s="495" t="s">
        <v>437</v>
      </c>
      <c r="E25" s="501"/>
      <c r="AI25" s="505"/>
    </row>
    <row r="26" spans="4:36" ht="14.7" thickBot="1">
      <c r="D26" s="133" t="s">
        <v>438</v>
      </c>
      <c r="E26" s="506"/>
      <c r="AI26" s="505"/>
    </row>
    <row r="27" spans="4:36" ht="14.7" thickBot="1">
      <c r="D27" s="228"/>
      <c r="E27" s="176"/>
      <c r="AI27" s="505"/>
    </row>
    <row r="28" spans="4:36" ht="14.7" thickBot="1">
      <c r="D28"/>
      <c r="E28" s="536" t="s">
        <v>693</v>
      </c>
      <c r="F28" s="536" t="s">
        <v>692</v>
      </c>
      <c r="G28" s="537" t="s">
        <v>691</v>
      </c>
      <c r="H28" s="257"/>
      <c r="AI28" s="505"/>
    </row>
    <row r="29" spans="4:36" ht="15" customHeight="1">
      <c r="D29" s="839" t="s">
        <v>554</v>
      </c>
      <c r="E29" s="538" t="str">
        <f>"Regional Traffic Engineer ("&amp;_xlfn.XLOOKUP(E22,'Email List'!B:B,'Email List'!C:C)&amp;")"</f>
        <v>Regional Traffic Engineer (Tyler Fowler)</v>
      </c>
      <c r="F29" s="539" t="str">
        <f>_xlfn.XLOOKUP($E$22,'Email List'!$B:$B,'Email List'!D:D)</f>
        <v>tjfowler2@ncdot.gov</v>
      </c>
      <c r="G29" s="540">
        <f>_xlfn.XLOOKUP($E$22,'Email List'!$B:$B,'Email List'!E:E)</f>
        <v>46233</v>
      </c>
      <c r="H29" s="257"/>
      <c r="AI29" s="505"/>
    </row>
    <row r="30" spans="4:36">
      <c r="D30" s="840"/>
      <c r="E30" s="541" t="str">
        <f>"Region Traffic Safety Engineer ("&amp;_xlfn.XLOOKUP(E22,'Email List'!B:B,'Email List'!F:F)&amp;")"</f>
        <v>Region Traffic Safety Engineer (Vacant)</v>
      </c>
      <c r="F30" s="542" t="str">
        <f>_xlfn.XLOOKUP($E$22,'Email List'!$B:$B,'Email List'!G:G)</f>
        <v>Vacant</v>
      </c>
      <c r="G30" s="543">
        <f>_xlfn.XLOOKUP($E$22,'Email List'!$B:$B,'Email List'!H:H)</f>
        <v>46233</v>
      </c>
      <c r="H30"/>
      <c r="AI30" s="505"/>
    </row>
    <row r="31" spans="4:36">
      <c r="D31" s="840"/>
      <c r="E31" s="541" t="str">
        <f>"Division Traffic Engineer ("&amp;_xlfn.XLOOKUP(E22,'Email List'!B:B,'Email List'!I:I)&amp;")"</f>
        <v>Division Traffic Engineer (Zachary Hussey)</v>
      </c>
      <c r="F31" s="542" t="str">
        <f>_xlfn.XLOOKUP($E$22,'Email List'!$B:$B,'Email List'!J:J)</f>
        <v>zhussey@ncdot.gov</v>
      </c>
      <c r="G31" s="543">
        <f>_xlfn.XLOOKUP($E$22,'Email List'!$B:$B,'Email List'!K:K)</f>
        <v>46233</v>
      </c>
      <c r="H31"/>
      <c r="AI31" s="507"/>
    </row>
    <row r="32" spans="4:36" ht="14.7" thickBot="1">
      <c r="D32" s="841"/>
      <c r="E32" s="544" t="str">
        <f>"Regional Signals Engineer ("&amp;_xlfn.XLOOKUP(E22,'Email List'!B:B,'Email List'!L:L)&amp;")"</f>
        <v>Regional Signals Engineer (Rob Ziemba)</v>
      </c>
      <c r="F32" s="545" t="str">
        <f>IF(E23="Y",_xlfn.XLOOKUP($E$22,'Email List'!$B:$B,'Email List'!M:M),"")</f>
        <v/>
      </c>
      <c r="G32" s="546" t="str">
        <f>IF(E23="Y",_xlfn.XLOOKUP($E$22,'Email List'!$B:$B,'Email List'!N:N),"")</f>
        <v/>
      </c>
      <c r="H32" s="257"/>
      <c r="AI32" s="507"/>
    </row>
    <row r="33" spans="4:35">
      <c r="D33" s="839" t="s">
        <v>562</v>
      </c>
      <c r="E33" s="538" t="s">
        <v>690</v>
      </c>
      <c r="F33" s="547" t="s">
        <v>563</v>
      </c>
      <c r="G33" s="548" t="s">
        <v>546</v>
      </c>
      <c r="H33" s="257"/>
      <c r="AI33" s="505"/>
    </row>
    <row r="34" spans="4:35">
      <c r="D34" s="840"/>
      <c r="E34" s="541" t="s">
        <v>689</v>
      </c>
      <c r="F34" s="549" t="s">
        <v>564</v>
      </c>
      <c r="G34" s="550" t="s">
        <v>546</v>
      </c>
      <c r="H34"/>
      <c r="AI34" s="507"/>
    </row>
    <row r="35" spans="4:35">
      <c r="D35" s="840"/>
      <c r="E35" s="541" t="s">
        <v>688</v>
      </c>
      <c r="F35" s="549" t="s">
        <v>565</v>
      </c>
      <c r="G35" s="550" t="s">
        <v>546</v>
      </c>
      <c r="H35"/>
      <c r="AI35" s="508"/>
    </row>
    <row r="36" spans="4:35">
      <c r="D36" s="840"/>
      <c r="E36" s="541" t="s">
        <v>687</v>
      </c>
      <c r="F36" s="549" t="s">
        <v>619</v>
      </c>
      <c r="G36" s="550" t="s">
        <v>546</v>
      </c>
      <c r="H36"/>
      <c r="AI36" s="98"/>
    </row>
    <row r="37" spans="4:35">
      <c r="D37" s="840"/>
      <c r="E37" s="541" t="s">
        <v>686</v>
      </c>
      <c r="F37" s="549" t="s">
        <v>566</v>
      </c>
      <c r="G37" s="550" t="s">
        <v>546</v>
      </c>
      <c r="H37"/>
      <c r="AI37" s="98"/>
    </row>
    <row r="38" spans="4:35">
      <c r="D38" s="840"/>
      <c r="E38" s="541" t="s">
        <v>685</v>
      </c>
      <c r="F38" s="549" t="s">
        <v>568</v>
      </c>
      <c r="G38" s="550" t="s">
        <v>546</v>
      </c>
      <c r="H38"/>
      <c r="AI38" s="98"/>
    </row>
    <row r="39" spans="4:35">
      <c r="D39" s="840"/>
      <c r="E39" s="541" t="str">
        <f>"Regional Field Operations Engineer ("&amp;_xlfn.XLOOKUP(E22,'Email List'!B:B,'Email List'!O:O)&amp;")"</f>
        <v>Regional Field Operations Engineer (John Grant)</v>
      </c>
      <c r="F39" s="542" t="str">
        <f>_xlfn.XLOOKUP($E$22,'Email List'!$B:$B,'Email List'!P:P)</f>
        <v>ALREADY INCLUDED</v>
      </c>
      <c r="G39" s="543">
        <f>_xlfn.XLOOKUP($E$22,'Email List'!$B:$B,'Email List'!Q:Q)</f>
        <v>46233</v>
      </c>
      <c r="H39"/>
      <c r="AI39" s="98"/>
    </row>
    <row r="40" spans="4:35">
      <c r="D40" s="840"/>
      <c r="E40" s="541" t="s">
        <v>694</v>
      </c>
      <c r="F40" s="549" t="s">
        <v>695</v>
      </c>
      <c r="G40" s="550" t="s">
        <v>546</v>
      </c>
      <c r="H40"/>
      <c r="AI40" s="98"/>
    </row>
    <row r="41" spans="4:35">
      <c r="D41" s="840"/>
      <c r="E41" s="541" t="s">
        <v>571</v>
      </c>
      <c r="F41" s="549" t="str">
        <f>IF(E23="Y","dishak@ncdot.gov","")</f>
        <v/>
      </c>
      <c r="G41" s="550" t="s">
        <v>546</v>
      </c>
      <c r="H41"/>
      <c r="AI41" s="98"/>
    </row>
    <row r="42" spans="4:35">
      <c r="D42" s="840"/>
      <c r="E42" s="541" t="str">
        <f>"Division Engineer ("&amp;_xlfn.XLOOKUP(E22,'Email List'!B:B,'Email List'!R:R)&amp;")"</f>
        <v>Division Engineer (Reuben Blakley)</v>
      </c>
      <c r="F42" s="542" t="str">
        <f>_xlfn.XLOOKUP($E$22,'Email List'!$B:$B,'Email List'!S:S)</f>
        <v>rblakley@ncdot.gov</v>
      </c>
      <c r="G42" s="543">
        <f>_xlfn.XLOOKUP($E$22,'Email List'!$B:$B,'Email List'!T:T)</f>
        <v>46233</v>
      </c>
      <c r="H42"/>
      <c r="AI42" s="98"/>
    </row>
    <row r="43" spans="4:35">
      <c r="D43" s="840"/>
      <c r="E43" s="541" t="s">
        <v>574</v>
      </c>
      <c r="F43" s="549" t="str">
        <f>IF(E24="Y","nhorne@ncdot.gov","")</f>
        <v/>
      </c>
      <c r="G43" s="550" t="s">
        <v>546</v>
      </c>
      <c r="H43"/>
      <c r="AI43" s="98"/>
    </row>
    <row r="44" spans="4:35">
      <c r="D44" s="840"/>
      <c r="E44" s="541" t="s">
        <v>575</v>
      </c>
      <c r="F44" s="549" t="str">
        <f>IF(E25="Y","sdlowry@ncdot.gov","")</f>
        <v/>
      </c>
      <c r="G44" s="550" t="s">
        <v>546</v>
      </c>
      <c r="H44"/>
      <c r="AI44" s="98"/>
    </row>
    <row r="45" spans="4:35" ht="14.7" thickBot="1">
      <c r="D45" s="841"/>
      <c r="E45" s="544" t="s">
        <v>576</v>
      </c>
      <c r="F45" s="551" t="str">
        <f>IF(E26="Y","bfuqua1@ncdot.gov","")</f>
        <v/>
      </c>
      <c r="G45" s="552" t="s">
        <v>546</v>
      </c>
      <c r="H45"/>
      <c r="AI45" s="98"/>
    </row>
    <row r="46" spans="4:35">
      <c r="D46"/>
      <c r="E46"/>
      <c r="F46"/>
      <c r="G46"/>
      <c r="H46"/>
      <c r="AI46" s="98"/>
    </row>
    <row r="47" spans="4:35" ht="14.7" thickBot="1">
      <c r="D47" s="5" t="s">
        <v>577</v>
      </c>
      <c r="E47"/>
      <c r="F47" s="553"/>
      <c r="G47" s="47"/>
      <c r="H47" s="47"/>
      <c r="AI47" s="98"/>
    </row>
    <row r="48" spans="4:35" ht="14.7" thickBot="1">
      <c r="D48" s="554" t="s">
        <v>578</v>
      </c>
      <c r="E48" s="854" t="str">
        <f>_xlfn.CONCAT(IF(OR(F29="Vacant",F29="ALREADY INCLUDED"),"",_xlfn.CONCAT(F29,"; ")),IF(OR(F30="Vacant",F30="ALREADY INCLUDED"),"",_xlfn.CONCAT(F30,"; ")),IF(OR(F31="Vacant",F31="ALREADY INCLUDED"),"",F31),IF(OR(F32="Vacant",F32="ALREADY INCLUDED",F32=""),"",_xlfn.CONCAT("; ",F32)))</f>
        <v>tjfowler2@ncdot.gov; zhussey@ncdot.gov</v>
      </c>
      <c r="F48" s="855"/>
      <c r="G48" s="855"/>
      <c r="H48" s="856"/>
      <c r="I48" s="509"/>
      <c r="AI48" s="98"/>
    </row>
    <row r="49" spans="4:35" ht="32.25" customHeight="1" thickBot="1">
      <c r="D49" s="555" t="s">
        <v>562</v>
      </c>
      <c r="E49" s="857" t="str">
        <f>_xlfn.CONCAT(IF(OR(F33="Vacant",F33="ALREADY INCLUDED"),"",_xlfn.CONCAT(F33,"; ")),IF(OR(F34="Vacant",F34="ALREADY INCLUDED"),"",_xlfn.CONCAT(F34,"; ")),IF(OR(F35="Vacant",F35="ALREADY INCLUDED"),"",_xlfn.CONCAT(F35,"; ")),IF(OR(F36="Vacant",F36="ALREADY INCLUDED"),"",_xlfn.CONCAT(F36,"; ")),IF(OR(F37="Vacant",F37="ALREADY INCLUDED"),"",_xlfn.CONCAT(F37,"; ")),IF(OR(F38="Vacant",F38="ALREADY INCLUDED"),"",_xlfn.CONCAT(F38,"; ")),IF(OR(F39="Vacant",F39="ALREADY INCLUDED"),"",_xlfn.CONCAT(F39,"; ")),IF(OR(F40="Vacant",F40="ALREADY INCLUDED",F40=""),"",_xlfn.CONCAT(F40,"; ")),IF(OR(F41="Vacant",F41="ALREADY INCLUDED",F41=""),"",_xlfn.CONCAT(F41,"; ")),IF(OR(F42="Vacant",F42="ALREADY INCLUDED"),"",F42),IF(F43="","",_xlfn.CONCAT("; ",F43)), IF(F44="","",_xlfn.CONCAT("; ",F44)),, IF(F45="","",_xlfn.CONCAT("; ",F45)))</f>
        <v>jportanova@ncdot.gov; stroy@ncdot.gov; bgmurphy@ncdot.gov; clsimpson@ncdot.gov; jhgrant@ncdot.gov; jwdale@ncdot.gov; rblakley@ncdot.gov</v>
      </c>
      <c r="F49" s="858"/>
      <c r="G49" s="858"/>
      <c r="H49" s="859"/>
      <c r="I49" s="510"/>
      <c r="AI49" s="98"/>
    </row>
    <row r="50" spans="4:35" ht="14.7" thickBot="1">
      <c r="I50" s="511"/>
      <c r="AI50" s="98"/>
    </row>
    <row r="51" spans="4:35">
      <c r="AI51" s="98"/>
    </row>
    <row r="52" spans="4:35">
      <c r="AI52" s="98"/>
    </row>
    <row r="53" spans="4:35">
      <c r="AI53" s="98"/>
    </row>
    <row r="54" spans="4:35">
      <c r="AI54" s="98"/>
    </row>
    <row r="55" spans="4:35">
      <c r="AI55" s="98"/>
    </row>
    <row r="56" spans="4:35">
      <c r="AI56" s="98"/>
    </row>
    <row r="57" spans="4:35">
      <c r="AI57" s="98"/>
    </row>
    <row r="58" spans="4:35">
      <c r="AI58" s="98"/>
    </row>
    <row r="59" spans="4:35">
      <c r="AI59" s="98"/>
    </row>
    <row r="60" spans="4:35">
      <c r="AI60" s="98"/>
    </row>
    <row r="61" spans="4:35">
      <c r="AI61" s="98"/>
    </row>
    <row r="62" spans="4:35">
      <c r="AI62" s="98"/>
    </row>
    <row r="63" spans="4:35">
      <c r="AI63" s="98"/>
    </row>
    <row r="64" spans="4:35">
      <c r="AI64" s="98"/>
    </row>
    <row r="65" s="98" customFormat="1"/>
    <row r="66" s="98" customFormat="1"/>
    <row r="67" s="98" customFormat="1"/>
    <row r="68" s="98" customFormat="1"/>
    <row r="69" s="98" customFormat="1"/>
    <row r="70" s="98" customFormat="1"/>
    <row r="71" s="98" customFormat="1"/>
    <row r="72" s="98" customFormat="1"/>
    <row r="73" s="98" customFormat="1"/>
    <row r="74" s="98" customFormat="1"/>
    <row r="75" s="98" customFormat="1"/>
    <row r="76" s="98" customFormat="1"/>
    <row r="77" s="98" customFormat="1"/>
    <row r="78" s="98" customFormat="1"/>
    <row r="79" s="98" customFormat="1"/>
    <row r="80" s="98" customFormat="1"/>
    <row r="81" s="98" customFormat="1"/>
    <row r="82" s="98" customFormat="1"/>
    <row r="83" s="98" customFormat="1"/>
    <row r="84" s="98" customFormat="1"/>
    <row r="85" s="98" customFormat="1"/>
    <row r="86" s="98" customFormat="1"/>
    <row r="87" s="98" customFormat="1"/>
    <row r="88" s="98" customFormat="1"/>
    <row r="89" s="98" customFormat="1"/>
    <row r="90" s="98" customFormat="1"/>
    <row r="91" s="98" customFormat="1"/>
    <row r="92" s="98" customFormat="1"/>
    <row r="93" s="98" customFormat="1"/>
    <row r="94" s="98" customFormat="1"/>
    <row r="95" s="98" customFormat="1"/>
    <row r="96" s="98" customFormat="1"/>
    <row r="97" s="98" customFormat="1"/>
    <row r="98" s="98" customFormat="1"/>
    <row r="99" s="98" customFormat="1"/>
    <row r="100" s="98" customFormat="1"/>
    <row r="101" s="98" customFormat="1"/>
    <row r="102" s="98" customFormat="1"/>
    <row r="103" s="98" customFormat="1"/>
    <row r="104" s="98" customFormat="1"/>
    <row r="105" s="98" customFormat="1"/>
    <row r="106" s="98" customFormat="1"/>
    <row r="107" s="98" customFormat="1"/>
    <row r="108" s="98" customFormat="1"/>
    <row r="109" s="98" customFormat="1"/>
    <row r="110" s="98" customFormat="1"/>
    <row r="111" s="98" customFormat="1"/>
    <row r="112" s="98" customFormat="1"/>
    <row r="113" s="98" customFormat="1"/>
    <row r="114" s="98" customFormat="1"/>
    <row r="115" s="98" customFormat="1"/>
    <row r="116" s="98" customFormat="1"/>
    <row r="117" s="98" customFormat="1"/>
    <row r="118" s="98" customFormat="1"/>
    <row r="119" s="98" customFormat="1"/>
    <row r="120" s="98" customFormat="1"/>
    <row r="121" s="98" customFormat="1"/>
    <row r="122" s="98" customFormat="1"/>
    <row r="123" s="98" customFormat="1"/>
    <row r="124" s="98" customFormat="1"/>
    <row r="125" s="98" customFormat="1"/>
    <row r="126" s="98" customFormat="1"/>
    <row r="127" s="98" customFormat="1"/>
    <row r="128" s="98" customFormat="1"/>
    <row r="129" s="98" customFormat="1"/>
    <row r="130" s="98" customFormat="1"/>
    <row r="131" s="98" customFormat="1"/>
    <row r="132" s="98" customFormat="1"/>
    <row r="133" s="98" customFormat="1"/>
    <row r="134" s="98" customFormat="1"/>
    <row r="135" s="98" customFormat="1"/>
    <row r="136" s="98" customFormat="1"/>
    <row r="137" s="98" customFormat="1"/>
    <row r="138" s="98" customFormat="1"/>
    <row r="139" s="98" customFormat="1"/>
    <row r="140" s="98" customFormat="1"/>
    <row r="141" s="98" customFormat="1"/>
    <row r="142" s="98" customFormat="1"/>
    <row r="143" s="98" customFormat="1"/>
    <row r="144" s="98" customFormat="1"/>
    <row r="145" s="98" customFormat="1"/>
    <row r="146" s="98" customFormat="1"/>
    <row r="147" s="98" customFormat="1"/>
    <row r="148" s="98" customFormat="1"/>
    <row r="149" s="98" customFormat="1"/>
    <row r="150" s="98" customFormat="1"/>
  </sheetData>
  <sheetProtection formatCells="0" formatColumns="0" formatRows="0"/>
  <mergeCells count="6">
    <mergeCell ref="D29:D32"/>
    <mergeCell ref="E14:H20"/>
    <mergeCell ref="D14:D20"/>
    <mergeCell ref="E48:H48"/>
    <mergeCell ref="E49:H49"/>
    <mergeCell ref="D33:D45"/>
  </mergeCells>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811BB9-ACB5-489A-A4B7-14130A92DE9B}">
  <sheetPr codeName="Sheet20"/>
  <dimension ref="A1:T32"/>
  <sheetViews>
    <sheetView workbookViewId="0">
      <pane xSplit="2" topLeftCell="C1" activePane="topRight" state="frozen"/>
      <selection pane="topRight" activeCell="E7" sqref="E7"/>
    </sheetView>
  </sheetViews>
  <sheetFormatPr defaultRowHeight="14.4"/>
  <cols>
    <col min="1" max="2" width="11.15625" bestFit="1" customWidth="1"/>
    <col min="3" max="4" width="16.47265625" bestFit="1" customWidth="1"/>
    <col min="5" max="5" width="12.15625" style="2" bestFit="1" customWidth="1"/>
    <col min="6" max="7" width="16.47265625" bestFit="1" customWidth="1"/>
    <col min="8" max="8" width="12.15625" style="2" bestFit="1" customWidth="1"/>
    <col min="9" max="10" width="16.47265625" bestFit="1" customWidth="1"/>
    <col min="11" max="11" width="12.15625" bestFit="1" customWidth="1"/>
    <col min="12" max="13" width="16.47265625" bestFit="1" customWidth="1"/>
    <col min="14" max="14" width="12.15625" style="2" bestFit="1" customWidth="1"/>
    <col min="15" max="16" width="16.47265625" bestFit="1" customWidth="1"/>
    <col min="17" max="17" width="12.15625" style="2" bestFit="1" customWidth="1"/>
    <col min="18" max="19" width="16.47265625" bestFit="1" customWidth="1"/>
    <col min="20" max="20" width="12.15625" style="2" bestFit="1" customWidth="1"/>
  </cols>
  <sheetData>
    <row r="1" spans="1:20">
      <c r="A1" t="s">
        <v>547</v>
      </c>
      <c r="B1" t="s">
        <v>548</v>
      </c>
      <c r="C1" t="s">
        <v>549</v>
      </c>
      <c r="D1" t="s">
        <v>550</v>
      </c>
      <c r="E1" s="2" t="s">
        <v>551</v>
      </c>
      <c r="F1" t="s">
        <v>552</v>
      </c>
      <c r="G1" t="s">
        <v>579</v>
      </c>
      <c r="H1" s="2" t="s">
        <v>580</v>
      </c>
      <c r="I1" t="s">
        <v>581</v>
      </c>
      <c r="J1" t="s">
        <v>582</v>
      </c>
      <c r="K1" t="s">
        <v>583</v>
      </c>
      <c r="L1" t="s">
        <v>584</v>
      </c>
      <c r="M1" t="s">
        <v>585</v>
      </c>
      <c r="N1" s="2" t="s">
        <v>586</v>
      </c>
      <c r="O1" t="s">
        <v>587</v>
      </c>
      <c r="P1" t="s">
        <v>588</v>
      </c>
      <c r="Q1" s="2" t="s">
        <v>589</v>
      </c>
      <c r="R1" t="s">
        <v>590</v>
      </c>
      <c r="S1" t="s">
        <v>591</v>
      </c>
      <c r="T1" s="2" t="s">
        <v>592</v>
      </c>
    </row>
    <row r="2" spans="1:20">
      <c r="K2" s="2"/>
    </row>
    <row r="3" spans="1:20">
      <c r="B3" t="s">
        <v>553</v>
      </c>
      <c r="C3" t="s">
        <v>555</v>
      </c>
      <c r="E3" s="2" t="s">
        <v>593</v>
      </c>
      <c r="F3" t="s">
        <v>557</v>
      </c>
      <c r="H3" s="2" t="s">
        <v>593</v>
      </c>
      <c r="I3" t="s">
        <v>559</v>
      </c>
      <c r="K3" s="2" t="s">
        <v>593</v>
      </c>
      <c r="L3" t="s">
        <v>561</v>
      </c>
      <c r="N3" s="2" t="s">
        <v>593</v>
      </c>
      <c r="O3" t="s">
        <v>569</v>
      </c>
      <c r="Q3" s="2" t="s">
        <v>593</v>
      </c>
      <c r="R3" t="s">
        <v>572</v>
      </c>
      <c r="T3" s="2" t="s">
        <v>593</v>
      </c>
    </row>
    <row r="4" spans="1:20">
      <c r="B4">
        <v>1</v>
      </c>
      <c r="C4" t="s">
        <v>594</v>
      </c>
      <c r="D4" t="s">
        <v>556</v>
      </c>
      <c r="E4" s="2">
        <v>46233</v>
      </c>
      <c r="F4" t="s">
        <v>595</v>
      </c>
      <c r="G4" t="s">
        <v>558</v>
      </c>
      <c r="H4" s="2">
        <v>46233</v>
      </c>
      <c r="I4" t="s">
        <v>596</v>
      </c>
      <c r="J4" t="s">
        <v>560</v>
      </c>
      <c r="K4" s="2">
        <v>46233</v>
      </c>
      <c r="L4" t="s">
        <v>597</v>
      </c>
      <c r="M4" t="s">
        <v>598</v>
      </c>
      <c r="N4" s="2">
        <v>46233</v>
      </c>
      <c r="O4" t="s">
        <v>599</v>
      </c>
      <c r="P4" t="s">
        <v>570</v>
      </c>
      <c r="Q4" s="2">
        <v>46233</v>
      </c>
      <c r="R4" t="s">
        <v>600</v>
      </c>
      <c r="S4" t="s">
        <v>573</v>
      </c>
      <c r="T4" s="2">
        <v>46233</v>
      </c>
    </row>
    <row r="5" spans="1:20">
      <c r="B5">
        <v>2</v>
      </c>
      <c r="C5" t="s">
        <v>594</v>
      </c>
      <c r="D5" t="s">
        <v>556</v>
      </c>
      <c r="E5" s="2">
        <v>46233</v>
      </c>
      <c r="F5" t="s">
        <v>595</v>
      </c>
      <c r="G5" t="s">
        <v>558</v>
      </c>
      <c r="H5" s="2">
        <v>46233</v>
      </c>
      <c r="I5" t="s">
        <v>601</v>
      </c>
      <c r="J5" t="s">
        <v>602</v>
      </c>
      <c r="K5" s="2">
        <v>46233</v>
      </c>
      <c r="L5" t="s">
        <v>597</v>
      </c>
      <c r="M5" t="s">
        <v>598</v>
      </c>
      <c r="N5" s="2">
        <v>46233</v>
      </c>
      <c r="O5" t="s">
        <v>599</v>
      </c>
      <c r="P5" t="s">
        <v>570</v>
      </c>
      <c r="Q5" s="2">
        <v>46233</v>
      </c>
      <c r="R5" t="s">
        <v>603</v>
      </c>
      <c r="S5" t="s">
        <v>604</v>
      </c>
      <c r="T5" s="2">
        <v>46233</v>
      </c>
    </row>
    <row r="6" spans="1:20">
      <c r="B6">
        <v>3</v>
      </c>
      <c r="C6" t="s">
        <v>605</v>
      </c>
      <c r="D6" t="s">
        <v>606</v>
      </c>
      <c r="E6" s="2">
        <v>46233</v>
      </c>
      <c r="F6" t="s">
        <v>607</v>
      </c>
      <c r="G6" t="s">
        <v>608</v>
      </c>
      <c r="H6" s="2">
        <v>46233</v>
      </c>
      <c r="I6" t="s">
        <v>609</v>
      </c>
      <c r="J6" t="s">
        <v>610</v>
      </c>
      <c r="K6" s="2">
        <v>46233</v>
      </c>
      <c r="L6" t="s">
        <v>597</v>
      </c>
      <c r="M6" t="s">
        <v>598</v>
      </c>
      <c r="N6" s="2">
        <v>46233</v>
      </c>
      <c r="O6" t="s">
        <v>599</v>
      </c>
      <c r="P6" t="s">
        <v>570</v>
      </c>
      <c r="Q6" s="2">
        <v>46233</v>
      </c>
      <c r="R6" t="s">
        <v>611</v>
      </c>
      <c r="S6" t="s">
        <v>612</v>
      </c>
      <c r="T6" s="2">
        <v>46233</v>
      </c>
    </row>
    <row r="7" spans="1:20">
      <c r="B7">
        <v>4</v>
      </c>
      <c r="C7" t="s">
        <v>594</v>
      </c>
      <c r="D7" t="s">
        <v>556</v>
      </c>
      <c r="E7" s="2">
        <v>46233</v>
      </c>
      <c r="F7" t="s">
        <v>595</v>
      </c>
      <c r="G7" t="s">
        <v>558</v>
      </c>
      <c r="H7" s="2">
        <v>46233</v>
      </c>
      <c r="I7" t="s">
        <v>613</v>
      </c>
      <c r="J7" t="s">
        <v>614</v>
      </c>
      <c r="K7" s="2">
        <v>46233</v>
      </c>
      <c r="L7" t="s">
        <v>597</v>
      </c>
      <c r="M7" t="s">
        <v>598</v>
      </c>
      <c r="N7" s="2">
        <v>46233</v>
      </c>
      <c r="O7" t="s">
        <v>599</v>
      </c>
      <c r="P7" t="s">
        <v>570</v>
      </c>
      <c r="Q7" s="2">
        <v>46233</v>
      </c>
      <c r="R7" t="s">
        <v>615</v>
      </c>
      <c r="S7" t="s">
        <v>616</v>
      </c>
      <c r="T7" s="2">
        <v>46233</v>
      </c>
    </row>
    <row r="8" spans="1:20">
      <c r="B8">
        <v>5</v>
      </c>
      <c r="C8" t="s">
        <v>617</v>
      </c>
      <c r="D8" t="s">
        <v>618</v>
      </c>
      <c r="E8" s="2">
        <v>46233</v>
      </c>
      <c r="F8" t="s">
        <v>619</v>
      </c>
      <c r="G8" t="s">
        <v>619</v>
      </c>
      <c r="H8" s="2">
        <v>46233</v>
      </c>
      <c r="I8" t="s">
        <v>620</v>
      </c>
      <c r="J8" t="s">
        <v>621</v>
      </c>
      <c r="K8" s="2">
        <v>46233</v>
      </c>
      <c r="L8" t="s">
        <v>622</v>
      </c>
      <c r="M8" t="s">
        <v>623</v>
      </c>
      <c r="N8" s="2">
        <v>46233</v>
      </c>
      <c r="O8" t="s">
        <v>567</v>
      </c>
      <c r="P8" t="s">
        <v>624</v>
      </c>
      <c r="Q8" s="2">
        <v>46233</v>
      </c>
      <c r="R8" t="s">
        <v>625</v>
      </c>
      <c r="S8" t="s">
        <v>626</v>
      </c>
      <c r="T8" s="2">
        <v>46233</v>
      </c>
    </row>
    <row r="9" spans="1:20">
      <c r="B9">
        <v>6</v>
      </c>
      <c r="C9" t="s">
        <v>627</v>
      </c>
      <c r="D9" t="s">
        <v>628</v>
      </c>
      <c r="E9" s="2">
        <v>46233</v>
      </c>
      <c r="F9" t="s">
        <v>629</v>
      </c>
      <c r="G9" t="s">
        <v>630</v>
      </c>
      <c r="H9" s="2">
        <v>46233</v>
      </c>
      <c r="I9" t="s">
        <v>631</v>
      </c>
      <c r="J9" t="s">
        <v>632</v>
      </c>
      <c r="K9" s="2">
        <v>46233</v>
      </c>
      <c r="L9" t="s">
        <v>597</v>
      </c>
      <c r="M9" t="s">
        <v>598</v>
      </c>
      <c r="N9" s="2">
        <v>46233</v>
      </c>
      <c r="O9" t="s">
        <v>599</v>
      </c>
      <c r="P9" t="s">
        <v>570</v>
      </c>
      <c r="Q9" s="2">
        <v>46233</v>
      </c>
      <c r="R9" t="s">
        <v>633</v>
      </c>
      <c r="S9" t="s">
        <v>634</v>
      </c>
      <c r="T9" s="2">
        <v>46233</v>
      </c>
    </row>
    <row r="10" spans="1:20">
      <c r="B10">
        <v>7</v>
      </c>
      <c r="C10" t="s">
        <v>635</v>
      </c>
      <c r="D10" t="s">
        <v>636</v>
      </c>
      <c r="E10" s="2">
        <v>46233</v>
      </c>
      <c r="F10" t="s">
        <v>637</v>
      </c>
      <c r="G10" t="s">
        <v>638</v>
      </c>
      <c r="H10" s="2">
        <v>46233</v>
      </c>
      <c r="I10" t="s">
        <v>639</v>
      </c>
      <c r="J10" t="s">
        <v>640</v>
      </c>
      <c r="K10" s="2">
        <v>46233</v>
      </c>
      <c r="L10" t="s">
        <v>622</v>
      </c>
      <c r="M10" t="s">
        <v>623</v>
      </c>
      <c r="N10" s="2">
        <v>46233</v>
      </c>
      <c r="O10" t="s">
        <v>567</v>
      </c>
      <c r="P10" t="s">
        <v>624</v>
      </c>
      <c r="Q10" s="2">
        <v>46233</v>
      </c>
      <c r="R10" t="s">
        <v>641</v>
      </c>
      <c r="S10" t="s">
        <v>642</v>
      </c>
      <c r="T10" s="2">
        <v>46233</v>
      </c>
    </row>
    <row r="11" spans="1:20">
      <c r="B11">
        <v>8</v>
      </c>
      <c r="C11" t="s">
        <v>617</v>
      </c>
      <c r="D11" t="s">
        <v>618</v>
      </c>
      <c r="E11" s="2">
        <v>46233</v>
      </c>
      <c r="F11" t="s">
        <v>619</v>
      </c>
      <c r="G11" t="s">
        <v>619</v>
      </c>
      <c r="H11" s="2">
        <v>46233</v>
      </c>
      <c r="I11" t="s">
        <v>643</v>
      </c>
      <c r="J11" t="s">
        <v>644</v>
      </c>
      <c r="K11" s="2">
        <v>46233</v>
      </c>
      <c r="L11" t="s">
        <v>622</v>
      </c>
      <c r="M11" t="s">
        <v>623</v>
      </c>
      <c r="N11" s="2">
        <v>46233</v>
      </c>
      <c r="O11" t="s">
        <v>567</v>
      </c>
      <c r="P11" t="s">
        <v>624</v>
      </c>
      <c r="Q11" s="2">
        <v>46233</v>
      </c>
      <c r="R11" t="s">
        <v>645</v>
      </c>
      <c r="S11" t="s">
        <v>646</v>
      </c>
      <c r="T11" s="2">
        <v>46233</v>
      </c>
    </row>
    <row r="12" spans="1:20">
      <c r="B12">
        <v>9</v>
      </c>
      <c r="C12" t="s">
        <v>635</v>
      </c>
      <c r="D12" t="s">
        <v>636</v>
      </c>
      <c r="E12" s="2">
        <v>46233</v>
      </c>
      <c r="F12" t="s">
        <v>637</v>
      </c>
      <c r="G12" t="s">
        <v>638</v>
      </c>
      <c r="H12" s="2">
        <v>46233</v>
      </c>
      <c r="I12" t="s">
        <v>647</v>
      </c>
      <c r="J12" t="s">
        <v>648</v>
      </c>
      <c r="K12" s="2">
        <v>46233</v>
      </c>
      <c r="L12" t="s">
        <v>622</v>
      </c>
      <c r="M12" t="s">
        <v>623</v>
      </c>
      <c r="N12" s="2">
        <v>46233</v>
      </c>
      <c r="O12" t="s">
        <v>567</v>
      </c>
      <c r="P12" t="s">
        <v>624</v>
      </c>
      <c r="Q12" s="2">
        <v>46233</v>
      </c>
      <c r="R12" t="s">
        <v>649</v>
      </c>
      <c r="S12" t="s">
        <v>650</v>
      </c>
      <c r="T12" s="2">
        <v>46233</v>
      </c>
    </row>
    <row r="13" spans="1:20">
      <c r="B13">
        <v>10</v>
      </c>
      <c r="C13" t="s">
        <v>651</v>
      </c>
      <c r="D13" t="s">
        <v>652</v>
      </c>
      <c r="E13" s="2">
        <v>46233</v>
      </c>
      <c r="F13" t="s">
        <v>653</v>
      </c>
      <c r="G13" t="s">
        <v>654</v>
      </c>
      <c r="H13" s="2">
        <v>46233</v>
      </c>
      <c r="I13" t="s">
        <v>655</v>
      </c>
      <c r="J13" t="s">
        <v>656</v>
      </c>
      <c r="K13" s="2">
        <v>46233</v>
      </c>
      <c r="L13" t="s">
        <v>619</v>
      </c>
      <c r="M13" t="s">
        <v>619</v>
      </c>
      <c r="N13" s="2">
        <v>46233</v>
      </c>
      <c r="O13" t="s">
        <v>657</v>
      </c>
      <c r="P13" t="s">
        <v>658</v>
      </c>
      <c r="Q13" s="2">
        <v>46233</v>
      </c>
      <c r="R13" t="s">
        <v>659</v>
      </c>
      <c r="S13" t="s">
        <v>660</v>
      </c>
      <c r="T13" s="2">
        <v>46233</v>
      </c>
    </row>
    <row r="14" spans="1:20">
      <c r="B14">
        <v>11</v>
      </c>
      <c r="C14" t="s">
        <v>661</v>
      </c>
      <c r="D14" t="s">
        <v>662</v>
      </c>
      <c r="E14" s="2">
        <v>46233</v>
      </c>
      <c r="F14" t="s">
        <v>663</v>
      </c>
      <c r="G14" t="s">
        <v>664</v>
      </c>
      <c r="H14" s="2">
        <v>46233</v>
      </c>
      <c r="I14" t="s">
        <v>665</v>
      </c>
      <c r="J14" t="s">
        <v>666</v>
      </c>
      <c r="K14" s="2">
        <v>46233</v>
      </c>
      <c r="L14" t="s">
        <v>619</v>
      </c>
      <c r="M14" t="s">
        <v>619</v>
      </c>
      <c r="N14" s="2">
        <v>46233</v>
      </c>
      <c r="O14" t="s">
        <v>657</v>
      </c>
      <c r="P14" t="s">
        <v>658</v>
      </c>
      <c r="Q14" s="2">
        <v>46233</v>
      </c>
      <c r="R14" t="s">
        <v>667</v>
      </c>
      <c r="S14" t="s">
        <v>668</v>
      </c>
      <c r="T14" s="2">
        <v>46233</v>
      </c>
    </row>
    <row r="15" spans="1:20">
      <c r="B15">
        <v>12</v>
      </c>
      <c r="C15" t="s">
        <v>661</v>
      </c>
      <c r="D15" t="s">
        <v>662</v>
      </c>
      <c r="E15" s="2">
        <v>46233</v>
      </c>
      <c r="F15" t="s">
        <v>663</v>
      </c>
      <c r="G15" t="s">
        <v>664</v>
      </c>
      <c r="H15" s="2">
        <v>46233</v>
      </c>
      <c r="I15" t="s">
        <v>669</v>
      </c>
      <c r="J15" t="s">
        <v>670</v>
      </c>
      <c r="K15" s="2">
        <v>46233</v>
      </c>
      <c r="L15" t="s">
        <v>619</v>
      </c>
      <c r="M15" t="s">
        <v>619</v>
      </c>
      <c r="N15" s="2">
        <v>46233</v>
      </c>
      <c r="O15" t="s">
        <v>657</v>
      </c>
      <c r="P15" t="s">
        <v>658</v>
      </c>
      <c r="Q15" s="2">
        <v>46233</v>
      </c>
      <c r="R15" t="s">
        <v>671</v>
      </c>
      <c r="S15" t="s">
        <v>672</v>
      </c>
      <c r="T15" s="2">
        <v>46233</v>
      </c>
    </row>
    <row r="16" spans="1:20">
      <c r="B16">
        <v>13</v>
      </c>
      <c r="C16" t="s">
        <v>673</v>
      </c>
      <c r="D16" t="s">
        <v>674</v>
      </c>
      <c r="E16" s="2">
        <v>46233</v>
      </c>
      <c r="F16" t="s">
        <v>675</v>
      </c>
      <c r="G16" t="s">
        <v>676</v>
      </c>
      <c r="H16" s="2">
        <v>46233</v>
      </c>
      <c r="I16" t="s">
        <v>677</v>
      </c>
      <c r="J16" t="s">
        <v>678</v>
      </c>
      <c r="K16" s="2">
        <v>46233</v>
      </c>
      <c r="L16" t="s">
        <v>619</v>
      </c>
      <c r="M16" t="s">
        <v>619</v>
      </c>
      <c r="N16" s="2">
        <v>46233</v>
      </c>
      <c r="O16" t="s">
        <v>657</v>
      </c>
      <c r="P16" t="s">
        <v>658</v>
      </c>
      <c r="Q16" s="2">
        <v>46233</v>
      </c>
      <c r="R16" t="s">
        <v>679</v>
      </c>
      <c r="S16" t="s">
        <v>680</v>
      </c>
      <c r="T16" s="2">
        <v>46233</v>
      </c>
    </row>
    <row r="17" spans="2:20">
      <c r="B17">
        <v>14</v>
      </c>
      <c r="C17" t="s">
        <v>673</v>
      </c>
      <c r="D17" t="s">
        <v>674</v>
      </c>
      <c r="E17" s="2">
        <v>46233</v>
      </c>
      <c r="F17" t="s">
        <v>675</v>
      </c>
      <c r="G17" t="s">
        <v>676</v>
      </c>
      <c r="H17" s="2">
        <v>46233</v>
      </c>
      <c r="I17" t="s">
        <v>681</v>
      </c>
      <c r="J17" t="s">
        <v>682</v>
      </c>
      <c r="K17" s="2">
        <v>46233</v>
      </c>
      <c r="L17" t="s">
        <v>619</v>
      </c>
      <c r="M17" t="s">
        <v>619</v>
      </c>
      <c r="N17" s="2">
        <v>46233</v>
      </c>
      <c r="O17" t="s">
        <v>657</v>
      </c>
      <c r="P17" t="s">
        <v>658</v>
      </c>
      <c r="Q17" s="2">
        <v>46233</v>
      </c>
      <c r="R17" t="s">
        <v>683</v>
      </c>
      <c r="S17" t="s">
        <v>684</v>
      </c>
      <c r="T17" s="2">
        <v>46233</v>
      </c>
    </row>
    <row r="18" spans="2:20">
      <c r="K18" s="2"/>
    </row>
    <row r="19" spans="2:20">
      <c r="K19" s="2"/>
    </row>
    <row r="20" spans="2:20">
      <c r="K20" s="2"/>
    </row>
    <row r="21" spans="2:20">
      <c r="K21" s="2"/>
    </row>
    <row r="22" spans="2:20">
      <c r="K22" s="2"/>
    </row>
    <row r="23" spans="2:20">
      <c r="K23" s="2"/>
    </row>
    <row r="24" spans="2:20">
      <c r="K24" s="2"/>
    </row>
    <row r="25" spans="2:20">
      <c r="K25" s="2"/>
    </row>
    <row r="26" spans="2:20">
      <c r="K26" s="2"/>
    </row>
    <row r="27" spans="2:20">
      <c r="K27" s="2"/>
    </row>
    <row r="28" spans="2:20">
      <c r="K28" s="2"/>
    </row>
    <row r="29" spans="2:20">
      <c r="K29" s="2"/>
    </row>
    <row r="30" spans="2:20">
      <c r="K30" s="2"/>
    </row>
    <row r="31" spans="2:20">
      <c r="K31" s="2"/>
    </row>
    <row r="32" spans="2:20">
      <c r="K32" s="2"/>
    </row>
  </sheetData>
  <phoneticPr fontId="44" type="noConversion"/>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8C5F00B-1AEE-4BBD-B5A0-7FD6A030EAF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29</vt:i4>
      </vt:variant>
    </vt:vector>
  </HeadingPairs>
  <TitlesOfParts>
    <vt:vector size="46" baseType="lpstr">
      <vt:lpstr>Step-by-Step Instructions</vt:lpstr>
      <vt:lpstr>Typical Target Crash Types</vt:lpstr>
      <vt:lpstr>Assumptions</vt:lpstr>
      <vt:lpstr>Evaluation Set-up</vt:lpstr>
      <vt:lpstr>Fiche Prep Tool</vt:lpstr>
      <vt:lpstr>Initial Crash ID list</vt:lpstr>
      <vt:lpstr>Parameters</vt:lpstr>
      <vt:lpstr>Original Fiche</vt:lpstr>
      <vt:lpstr>Filtered Fiche</vt:lpstr>
      <vt:lpstr>Binned Crashes</vt:lpstr>
      <vt:lpstr>Before</vt:lpstr>
      <vt:lpstr>After</vt:lpstr>
      <vt:lpstr>Trends</vt:lpstr>
      <vt:lpstr>One Pager</vt:lpstr>
      <vt:lpstr>For NCDOT staff - for Tracking</vt:lpstr>
      <vt:lpstr>For NCDOT staff - Email</vt:lpstr>
      <vt:lpstr>Email List</vt:lpstr>
      <vt:lpstr>A</vt:lpstr>
      <vt:lpstr>A_AFDir</vt:lpstr>
      <vt:lpstr>A_Avoid</vt:lpstr>
      <vt:lpstr>A_Cat</vt:lpstr>
      <vt:lpstr>A_Check</vt:lpstr>
      <vt:lpstr>A_Cond</vt:lpstr>
      <vt:lpstr>A_ID</vt:lpstr>
      <vt:lpstr>A_Light</vt:lpstr>
      <vt:lpstr>A_Sev</vt:lpstr>
      <vt:lpstr>A_T1</vt:lpstr>
      <vt:lpstr>A_T2</vt:lpstr>
      <vt:lpstr>A_T3</vt:lpstr>
      <vt:lpstr>A_Type</vt:lpstr>
      <vt:lpstr>A_V1Dir</vt:lpstr>
      <vt:lpstr>A_V2Dir</vt:lpstr>
      <vt:lpstr>B_AFDir</vt:lpstr>
      <vt:lpstr>B_Avoid</vt:lpstr>
      <vt:lpstr>B_Cat</vt:lpstr>
      <vt:lpstr>B_Check</vt:lpstr>
      <vt:lpstr>B_Cond</vt:lpstr>
      <vt:lpstr>B_ID</vt:lpstr>
      <vt:lpstr>B_Light</vt:lpstr>
      <vt:lpstr>B_Sev</vt:lpstr>
      <vt:lpstr>B_T1</vt:lpstr>
      <vt:lpstr>B_T2</vt:lpstr>
      <vt:lpstr>B_T3</vt:lpstr>
      <vt:lpstr>B_Type</vt:lpstr>
      <vt:lpstr>B_V1Dir</vt:lpstr>
      <vt:lpstr>B_V2Dir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S. Nye</dc:creator>
  <cp:lastModifiedBy>Chris Bahret</cp:lastModifiedBy>
  <cp:lastPrinted>2026-09-11T12:00:20Z</cp:lastPrinted>
  <dcterms:created xsi:type="dcterms:W3CDTF">2019-02-04T16:37:52Z</dcterms:created>
  <dcterms:modified xsi:type="dcterms:W3CDTF">2026-10-07T12:00:00Z</dcterms:modified>
</cp:coreProperties>
</file>